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updateLinks="never" codeName="ThisWorkbook"/>
  <mc:AlternateContent xmlns:mc="http://schemas.openxmlformats.org/markup-compatibility/2006">
    <mc:Choice Requires="x15">
      <x15ac:absPath xmlns:x15ac="http://schemas.microsoft.com/office/spreadsheetml/2010/11/ac" url="C:\Users\kboyette\Documents\"/>
    </mc:Choice>
  </mc:AlternateContent>
  <xr:revisionPtr revIDLastSave="0" documentId="8_{8DCFDC8B-F1DB-4F5A-9A85-A5C2B59D29A5}" xr6:coauthVersionLast="45" xr6:coauthVersionMax="45" xr10:uidLastSave="{00000000-0000-0000-0000-000000000000}"/>
  <bookViews>
    <workbookView xWindow="-120" yWindow="-120" windowWidth="20730" windowHeight="11160" tabRatio="824" firstSheet="1" activeTab="1" xr2:uid="{00000000-000D-0000-FFFF-FFFF00000000}"/>
  </bookViews>
  <sheets>
    <sheet name="Introduction" sheetId="8" state="hidden" r:id="rId1"/>
    <sheet name="Data Entry" sheetId="5" r:id="rId2"/>
    <sheet name="Analysis" sheetId="17" r:id="rId3"/>
    <sheet name="APPENDIX - Startup Costs" sheetId="1" r:id="rId4"/>
    <sheet name="Sheet1" sheetId="10" state="hidden" r:id="rId5"/>
    <sheet name="Bal Sheet &amp; Cash Flow" sheetId="9" state="hidden" r:id="rId6"/>
    <sheet name="Income Statement Projections" sheetId="3" state="hidden" r:id="rId7"/>
    <sheet name="Sheet4" sheetId="13" state="hidden" r:id="rId8"/>
    <sheet name="Debt &amp; Equity" sheetId="14" state="hidden" r:id="rId9"/>
    <sheet name="State Unemployment" sheetId="12" state="hidden" r:id="rId10"/>
    <sheet name="5 Year Summary" sheetId="6" state="hidden" r:id="rId11"/>
  </sheets>
  <externalReferences>
    <externalReference r:id="rId12"/>
    <externalReference r:id="rId13"/>
  </externalReferences>
  <definedNames>
    <definedName name="__ja12">'[1]Income Statements'!#REF!</definedName>
    <definedName name="_ja12">'[1]Income Statements'!#REF!</definedName>
    <definedName name="Admin_Efficiency">'Data Entry'!$D$89</definedName>
    <definedName name="Aide_Comp">'Data Entry'!$D$63</definedName>
    <definedName name="ALOS">'Data Entry'!$D$21</definedName>
    <definedName name="Avg_hours_private_visit">'Data Entry'!$D$15</definedName>
    <definedName name="Avg_hours_public_visit">'Data Entry'!$D$14</definedName>
    <definedName name="BOD">'Data Entry'!$D$92</definedName>
    <definedName name="Client_Time">'Data Entry'!$D$24</definedName>
    <definedName name="Coordinator_Efficiency">'Data Entry'!$D$88</definedName>
    <definedName name="Coordinator_Hourly">'Data Entry'!$D$87</definedName>
    <definedName name="Days_AR">'Data Entry'!$D$95</definedName>
    <definedName name="Dis_Insurance">'Data Entry'!$D$68</definedName>
    <definedName name="ED_Salary">'Data Entry'!$D$85</definedName>
    <definedName name="End_Bal">'[2]Amortization Table'!$I$19:$I$378</definedName>
    <definedName name="Full_Print">'[2]Amortization Table'!$A$1:$J$378</definedName>
    <definedName name="H_Insurance">'Data Entry'!$D$65</definedName>
    <definedName name="Header_Row">ROW('[2]Amortization Table'!$18:$18)</definedName>
    <definedName name="Hourly_Wage">'Data Entry'!$D$45</definedName>
    <definedName name="HoursPerWeek">'Data Entry'!$D$43</definedName>
    <definedName name="InService">'Data Entry'!$D$82</definedName>
    <definedName name="Interest_Rate">'[2]Amortization Table'!$D$7</definedName>
    <definedName name="Last__Row">IF(Values__Entered,Header_Row+Number__of__Payments,Header_Row)</definedName>
    <definedName name="Last_Row">IF(Values_Entered,Header_Row+Number_of_Payments,Header_Row)</definedName>
    <definedName name="Loan_Amount">'[2]Amortization Table'!$D$6</definedName>
    <definedName name="Loan_Start">'[2]Amortization Table'!$D$10</definedName>
    <definedName name="Loan_Years">'[2]Amortization Table'!$D$8</definedName>
    <definedName name="MF_DP">'Data Entry'!$D$103</definedName>
    <definedName name="MF_Fee">'Data Entry'!$D$102</definedName>
    <definedName name="MF_Months">'Data Entry'!$D$104</definedName>
    <definedName name="NET_new_private_clients_mo">'Data Entry'!#REF!</definedName>
    <definedName name="NET_new_public_pay_clients_mo">'Data Entry'!#REF!</definedName>
    <definedName name="Non_Aide_Comp">'Data Entry'!$D$64</definedName>
    <definedName name="Number__of__Payments">MATCH(0.01,End_Bal,-1)+1</definedName>
    <definedName name="Number_of_Payments">MATCH(0.01,End_Bal,-1)+1</definedName>
    <definedName name="Number_of_private_pay_clients">'Data Entry'!#REF!</definedName>
    <definedName name="Number_of_public_pay_clients">'Data Entry'!#REF!</definedName>
    <definedName name="Office_Salary">'Data Entry'!$D$86</definedName>
    <definedName name="Payment__Date">DATE(YEAR(Loan_Start),MONTH(Loan_Start)+Payment_Number,DAY(Loan_Start))</definedName>
    <definedName name="Payment_Date">DATE(YEAR(Loan_Start),MONTH(Loan_Start)+Payment_Number,DAY(Loan_Start))</definedName>
    <definedName name="Print__Area__Reset">OFFSET(Full_Print,0,0,Last__Row)</definedName>
    <definedName name="Print_Area_Reset">OFFSET(Full_Print,0,0,Last_Row)</definedName>
    <definedName name="Private_LOV">'Data Entry'!$D$15</definedName>
    <definedName name="Private_pay_hour">'Data Entry'!$D$11:$I$11</definedName>
    <definedName name="Private_Rate">'Data Entry'!$D$11</definedName>
    <definedName name="Private_VpW">'Data Entry'!$D$19</definedName>
    <definedName name="PTO">'Data Entry'!$D$67</definedName>
    <definedName name="Public_LOV">'Data Entry'!$D$14</definedName>
    <definedName name="Public_pay_hour">'Data Entry'!$D$10:$I$10</definedName>
    <definedName name="Public_Rate">'Data Entry'!$D$10</definedName>
    <definedName name="Public_VpW">'Data Entry'!$D$18</definedName>
    <definedName name="Retirement">'Data Entry'!$D$69</definedName>
    <definedName name="Shift">'Data Entry'!$D$26</definedName>
    <definedName name="SUTA_Rate">'Data Entry'!$D$60</definedName>
    <definedName name="Total__Payment">Scheduled_Payment+Extra_Payment</definedName>
    <definedName name="Total_Payment">Scheduled_Payment+Extra_Payment</definedName>
    <definedName name="Travel_Time">'Data Entry'!$D$24</definedName>
    <definedName name="Travel_Wage">'Data Entry'!$D$46</definedName>
    <definedName name="Values__Entered">IF(Loan_Amount*Interest_Rate*Loan_Years*Loan_Start&gt;0,1,0)</definedName>
    <definedName name="Values_Entered">IF(Loan_Amount*Interest_Rate*Loan_Years*Loan_Start&gt;0,1,0)</definedName>
    <definedName name="Visits_per_week">'Data Entry'!#REF!</definedName>
    <definedName name="Wage_Increase">'Data Entry'!$D$70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 i="14" l="1"/>
  <c r="C34" i="14" s="1"/>
  <c r="B38" i="9"/>
  <c r="B40" i="9" s="1"/>
  <c r="D98" i="5"/>
  <c r="C6" i="14" s="1"/>
  <c r="C7" i="14"/>
  <c r="C8" i="14"/>
  <c r="B7" i="3"/>
  <c r="B9" i="3" s="1"/>
  <c r="B22" i="3" s="1"/>
  <c r="B8" i="3"/>
  <c r="B34" i="3"/>
  <c r="B11" i="3"/>
  <c r="B13" i="3" s="1"/>
  <c r="B12" i="3"/>
  <c r="B35" i="3"/>
  <c r="B36" i="3"/>
  <c r="B99" i="3" s="1"/>
  <c r="B77" i="3"/>
  <c r="B23" i="3"/>
  <c r="D29" i="5"/>
  <c r="C7" i="3"/>
  <c r="C9" i="3" s="1"/>
  <c r="C8" i="3"/>
  <c r="C12" i="3"/>
  <c r="D8" i="3"/>
  <c r="D12" i="3"/>
  <c r="E8" i="3"/>
  <c r="E12" i="3"/>
  <c r="F8" i="3"/>
  <c r="F12" i="3"/>
  <c r="G8" i="3"/>
  <c r="G12" i="3"/>
  <c r="H8" i="3"/>
  <c r="H12" i="3"/>
  <c r="I8" i="3"/>
  <c r="I12" i="3"/>
  <c r="J8" i="3"/>
  <c r="J12" i="3"/>
  <c r="K8" i="3"/>
  <c r="K12" i="3"/>
  <c r="L8" i="3"/>
  <c r="L12" i="3"/>
  <c r="M8" i="3"/>
  <c r="M12" i="3"/>
  <c r="C77" i="3"/>
  <c r="D77" i="3"/>
  <c r="E77" i="3"/>
  <c r="F77" i="3"/>
  <c r="G77" i="3"/>
  <c r="B15" i="9"/>
  <c r="B20" i="9"/>
  <c r="C6" i="9"/>
  <c r="C55" i="9" s="1"/>
  <c r="C57" i="9"/>
  <c r="C58" i="9"/>
  <c r="B39" i="3"/>
  <c r="B40" i="3"/>
  <c r="D53" i="5"/>
  <c r="B14" i="1"/>
  <c r="B93" i="3"/>
  <c r="B94" i="3"/>
  <c r="B95" i="3"/>
  <c r="B96" i="3"/>
  <c r="B97" i="3"/>
  <c r="B98" i="3"/>
  <c r="B100" i="3"/>
  <c r="C51" i="9" s="1"/>
  <c r="B101" i="3"/>
  <c r="B102" i="3"/>
  <c r="B64" i="3"/>
  <c r="C14" i="9"/>
  <c r="C15" i="9" s="1"/>
  <c r="C64" i="9" s="1"/>
  <c r="C65" i="9" s="1"/>
  <c r="C26" i="14"/>
  <c r="C28" i="14" s="1"/>
  <c r="C29" i="14"/>
  <c r="D57" i="9"/>
  <c r="D58" i="9"/>
  <c r="E57" i="9"/>
  <c r="E58" i="9"/>
  <c r="F57" i="9"/>
  <c r="F58" i="9"/>
  <c r="G57" i="9"/>
  <c r="G58" i="9"/>
  <c r="H57" i="9"/>
  <c r="H58" i="9"/>
  <c r="H77" i="3"/>
  <c r="I57" i="9"/>
  <c r="I58" i="9"/>
  <c r="I77" i="3"/>
  <c r="J57" i="9"/>
  <c r="J58" i="9"/>
  <c r="J77" i="3"/>
  <c r="K57" i="9"/>
  <c r="K58" i="9"/>
  <c r="K77" i="3"/>
  <c r="L57" i="9"/>
  <c r="L58" i="9"/>
  <c r="L77" i="3"/>
  <c r="M57" i="9"/>
  <c r="M58" i="9"/>
  <c r="M77" i="3"/>
  <c r="N57" i="9"/>
  <c r="N58" i="9"/>
  <c r="N8" i="3"/>
  <c r="N12" i="3"/>
  <c r="N77" i="3"/>
  <c r="O57" i="9"/>
  <c r="O58" i="9"/>
  <c r="O8" i="3"/>
  <c r="O12" i="3"/>
  <c r="O77" i="3"/>
  <c r="P57" i="9"/>
  <c r="P58" i="9"/>
  <c r="P8" i="3"/>
  <c r="P12" i="3"/>
  <c r="P77" i="3"/>
  <c r="Q57" i="9"/>
  <c r="Q58" i="9"/>
  <c r="Q8" i="3"/>
  <c r="Q12" i="3"/>
  <c r="Q77" i="3"/>
  <c r="R57" i="9"/>
  <c r="R58" i="9"/>
  <c r="R8" i="3"/>
  <c r="R12" i="3"/>
  <c r="R77" i="3"/>
  <c r="S57" i="9"/>
  <c r="S58" i="9"/>
  <c r="S8" i="3"/>
  <c r="S12" i="3"/>
  <c r="S77" i="3"/>
  <c r="T57" i="9"/>
  <c r="T58" i="9"/>
  <c r="T8" i="3"/>
  <c r="T12" i="3"/>
  <c r="T77" i="3"/>
  <c r="U57" i="9"/>
  <c r="U58" i="9"/>
  <c r="U8" i="3"/>
  <c r="U12" i="3"/>
  <c r="U77" i="3"/>
  <c r="V57" i="9"/>
  <c r="V58" i="9"/>
  <c r="V8" i="3"/>
  <c r="V12" i="3"/>
  <c r="V77" i="3"/>
  <c r="W57" i="9"/>
  <c r="W58" i="9"/>
  <c r="W8" i="3"/>
  <c r="W12" i="3"/>
  <c r="W77" i="3"/>
  <c r="X57" i="9"/>
  <c r="X58" i="9"/>
  <c r="X8" i="3"/>
  <c r="X12" i="3"/>
  <c r="X77" i="3"/>
  <c r="Y57" i="9"/>
  <c r="Y58" i="9"/>
  <c r="Y8" i="3"/>
  <c r="Y12" i="3"/>
  <c r="Y77" i="3"/>
  <c r="Z57" i="9"/>
  <c r="Z58" i="9"/>
  <c r="Z8" i="3"/>
  <c r="Z12" i="3"/>
  <c r="Z77" i="3"/>
  <c r="AA57" i="9"/>
  <c r="AA58" i="9"/>
  <c r="AA8" i="3"/>
  <c r="AA12" i="3"/>
  <c r="AA77" i="3"/>
  <c r="AB57" i="9"/>
  <c r="AB58" i="9"/>
  <c r="AB8" i="3"/>
  <c r="AB12" i="3"/>
  <c r="AB77" i="3"/>
  <c r="AC57" i="9"/>
  <c r="AC58" i="9"/>
  <c r="AC8" i="3"/>
  <c r="AC12" i="3"/>
  <c r="AC77" i="3"/>
  <c r="AD57" i="9"/>
  <c r="AD58" i="9"/>
  <c r="AD8" i="3"/>
  <c r="AD12" i="3"/>
  <c r="AD77" i="3"/>
  <c r="AE57" i="9"/>
  <c r="AE58" i="9"/>
  <c r="AE8" i="3"/>
  <c r="AE12" i="3"/>
  <c r="AE77" i="3"/>
  <c r="AF57" i="9"/>
  <c r="AF58" i="9"/>
  <c r="AF8" i="3"/>
  <c r="AF12" i="3"/>
  <c r="AF77" i="3"/>
  <c r="AG57" i="9"/>
  <c r="AG58" i="9"/>
  <c r="AG8" i="3"/>
  <c r="AG12" i="3"/>
  <c r="AG77" i="3"/>
  <c r="AH57" i="9"/>
  <c r="AH58" i="9"/>
  <c r="AH8" i="3"/>
  <c r="AH12" i="3"/>
  <c r="AH77" i="3"/>
  <c r="AI57" i="9"/>
  <c r="AI58" i="9"/>
  <c r="AI8" i="3"/>
  <c r="AI12" i="3"/>
  <c r="AI77" i="3"/>
  <c r="AJ57" i="9"/>
  <c r="AJ58" i="9"/>
  <c r="AJ8" i="3"/>
  <c r="AJ12" i="3"/>
  <c r="AJ77" i="3"/>
  <c r="AK57" i="9"/>
  <c r="AK58" i="9"/>
  <c r="AK8" i="3"/>
  <c r="AK12" i="3"/>
  <c r="AK77" i="3"/>
  <c r="AL57" i="9"/>
  <c r="AL58" i="9"/>
  <c r="AL8" i="3"/>
  <c r="AL12" i="3"/>
  <c r="AL77" i="3"/>
  <c r="AM57" i="9"/>
  <c r="AM58" i="9"/>
  <c r="AM8" i="3"/>
  <c r="AM12" i="3"/>
  <c r="AM77" i="3"/>
  <c r="AN57" i="9"/>
  <c r="AN58" i="9"/>
  <c r="AN8" i="3"/>
  <c r="AN12" i="3"/>
  <c r="AN77" i="3"/>
  <c r="AO57" i="9"/>
  <c r="AO58" i="9"/>
  <c r="AO8" i="3"/>
  <c r="AO12" i="3"/>
  <c r="AO77" i="3"/>
  <c r="AP57" i="9"/>
  <c r="AP58" i="9"/>
  <c r="AP8" i="3"/>
  <c r="AP12" i="3"/>
  <c r="AP77" i="3"/>
  <c r="AQ57" i="9"/>
  <c r="AQ58" i="9"/>
  <c r="AQ8" i="3"/>
  <c r="AQ12" i="3"/>
  <c r="AQ77" i="3"/>
  <c r="AR57" i="9"/>
  <c r="AR58" i="9"/>
  <c r="AR8" i="3"/>
  <c r="AR12" i="3"/>
  <c r="AR77" i="3"/>
  <c r="AS57" i="9"/>
  <c r="AS58" i="9"/>
  <c r="AS8" i="3"/>
  <c r="AS12" i="3"/>
  <c r="AS77" i="3"/>
  <c r="AT57" i="9"/>
  <c r="AT58" i="9"/>
  <c r="AT8" i="3"/>
  <c r="AT12" i="3"/>
  <c r="AT77" i="3"/>
  <c r="AU57" i="9"/>
  <c r="AU58" i="9"/>
  <c r="AU8" i="3"/>
  <c r="AU12" i="3"/>
  <c r="AU77" i="3"/>
  <c r="AV57" i="9"/>
  <c r="AV58" i="9"/>
  <c r="AV8" i="3"/>
  <c r="AV12" i="3"/>
  <c r="AV77" i="3"/>
  <c r="AW57" i="9"/>
  <c r="AW58" i="9"/>
  <c r="AW8" i="3"/>
  <c r="AW12" i="3"/>
  <c r="AW77" i="3"/>
  <c r="AX57" i="9"/>
  <c r="AX58" i="9"/>
  <c r="BO58" i="9" s="1"/>
  <c r="AX8" i="3"/>
  <c r="AX12" i="3"/>
  <c r="AX77" i="3"/>
  <c r="AY57" i="9"/>
  <c r="AY58" i="9"/>
  <c r="AY8" i="3"/>
  <c r="AY12" i="3"/>
  <c r="AY77" i="3"/>
  <c r="AZ57" i="9"/>
  <c r="AZ58" i="9"/>
  <c r="AZ8" i="3"/>
  <c r="AZ12" i="3"/>
  <c r="AZ77" i="3"/>
  <c r="BA57" i="9"/>
  <c r="BA58" i="9"/>
  <c r="BA8" i="3"/>
  <c r="BA12" i="3"/>
  <c r="BA77" i="3"/>
  <c r="BB57" i="9"/>
  <c r="BB58" i="9"/>
  <c r="BB8" i="3"/>
  <c r="BB12" i="3"/>
  <c r="BB77" i="3"/>
  <c r="BC57" i="9"/>
  <c r="BC58" i="9"/>
  <c r="BC8" i="3"/>
  <c r="BC12" i="3"/>
  <c r="BC77" i="3"/>
  <c r="BD57" i="9"/>
  <c r="BD58" i="9"/>
  <c r="BD8" i="3"/>
  <c r="BD12" i="3"/>
  <c r="BD77" i="3"/>
  <c r="BE57" i="9"/>
  <c r="BE58" i="9"/>
  <c r="BE8" i="3"/>
  <c r="BE12" i="3"/>
  <c r="BE77" i="3"/>
  <c r="BF57" i="9"/>
  <c r="BF58" i="9"/>
  <c r="BF8" i="3"/>
  <c r="BF12" i="3"/>
  <c r="BF77" i="3"/>
  <c r="BG57" i="9"/>
  <c r="BG58" i="9"/>
  <c r="BG8" i="3"/>
  <c r="BG12" i="3"/>
  <c r="BG77" i="3"/>
  <c r="BH57" i="9"/>
  <c r="BH58" i="9"/>
  <c r="BH8" i="3"/>
  <c r="BH12" i="3"/>
  <c r="BH77" i="3"/>
  <c r="BI57" i="9"/>
  <c r="BI58" i="9"/>
  <c r="BI8" i="3"/>
  <c r="BI12" i="3"/>
  <c r="BI77" i="3"/>
  <c r="BJ57" i="9"/>
  <c r="BP57" i="9" s="1"/>
  <c r="BJ58" i="9"/>
  <c r="BP58" i="9" s="1"/>
  <c r="BJ25" i="9"/>
  <c r="BJ31" i="9" s="1"/>
  <c r="BM8" i="9"/>
  <c r="BN8" i="9"/>
  <c r="BO8" i="9"/>
  <c r="BP8" i="9"/>
  <c r="BM34" i="9"/>
  <c r="BM35" i="9"/>
  <c r="BN34" i="9"/>
  <c r="BN35" i="9"/>
  <c r="BO34" i="9"/>
  <c r="BO35" i="9"/>
  <c r="BP34" i="9"/>
  <c r="BP35" i="9"/>
  <c r="BL34" i="9"/>
  <c r="BL35" i="9"/>
  <c r="BL8" i="9"/>
  <c r="E38" i="17"/>
  <c r="F38" i="17"/>
  <c r="G38" i="17"/>
  <c r="H38" i="17"/>
  <c r="D40" i="17"/>
  <c r="D38" i="17"/>
  <c r="C40" i="17"/>
  <c r="C42" i="17" s="1"/>
  <c r="D42" i="17" s="1"/>
  <c r="E42" i="17" s="1"/>
  <c r="F42" i="17" s="1"/>
  <c r="G42" i="17" s="1"/>
  <c r="H42" i="17" s="1"/>
  <c r="C38" i="17"/>
  <c r="D7" i="14"/>
  <c r="BK82" i="9"/>
  <c r="C99" i="17"/>
  <c r="BK83" i="9"/>
  <c r="C100" i="17"/>
  <c r="BK6" i="9"/>
  <c r="BK8" i="9"/>
  <c r="BK10" i="9"/>
  <c r="BL10" i="9"/>
  <c r="BM10" i="9"/>
  <c r="BN10" i="9"/>
  <c r="BO10" i="9"/>
  <c r="BP10" i="9"/>
  <c r="BK11" i="9"/>
  <c r="BL11" i="9"/>
  <c r="BM11" i="9"/>
  <c r="BN11" i="9"/>
  <c r="BO11" i="9"/>
  <c r="BP11" i="9"/>
  <c r="BK12" i="9"/>
  <c r="BL12" i="9"/>
  <c r="BM12" i="9"/>
  <c r="BN12" i="9"/>
  <c r="BO12" i="9"/>
  <c r="BP12" i="9"/>
  <c r="BK13" i="9"/>
  <c r="BL13" i="9"/>
  <c r="BM13" i="9"/>
  <c r="BN13" i="9"/>
  <c r="BO13" i="9"/>
  <c r="BP13" i="9"/>
  <c r="BK14" i="9"/>
  <c r="BK15" i="9"/>
  <c r="BK16" i="9"/>
  <c r="BL16" i="9"/>
  <c r="BM16" i="9"/>
  <c r="BN16" i="9"/>
  <c r="BO16" i="9"/>
  <c r="BP16" i="9"/>
  <c r="BK17" i="9"/>
  <c r="BL17" i="9"/>
  <c r="BM17" i="9"/>
  <c r="BN17" i="9"/>
  <c r="BO17" i="9"/>
  <c r="BP17" i="9"/>
  <c r="BK18" i="9"/>
  <c r="BL18" i="9"/>
  <c r="BM18" i="9"/>
  <c r="BN18" i="9"/>
  <c r="BO18" i="9"/>
  <c r="BP18" i="9"/>
  <c r="BK19" i="9"/>
  <c r="BL19" i="9"/>
  <c r="BM19" i="9"/>
  <c r="BN19" i="9"/>
  <c r="BO19" i="9"/>
  <c r="BP19" i="9"/>
  <c r="N20" i="9"/>
  <c r="BL20" i="9"/>
  <c r="Z20" i="9"/>
  <c r="BM20" i="9"/>
  <c r="AL20" i="9"/>
  <c r="BN20" i="9"/>
  <c r="AX20" i="9"/>
  <c r="BO20" i="9"/>
  <c r="BJ20" i="9"/>
  <c r="BP20" i="9"/>
  <c r="BK26" i="9"/>
  <c r="BL26" i="9"/>
  <c r="BM26" i="9"/>
  <c r="BN26" i="9"/>
  <c r="BO26" i="9"/>
  <c r="BP26" i="9"/>
  <c r="BK27" i="9"/>
  <c r="BL27" i="9"/>
  <c r="BM27" i="9"/>
  <c r="BN27" i="9"/>
  <c r="BO27" i="9"/>
  <c r="BP27" i="9"/>
  <c r="BK28" i="9"/>
  <c r="BL28" i="9"/>
  <c r="BM28" i="9"/>
  <c r="BN28" i="9"/>
  <c r="BO28" i="9"/>
  <c r="BP28" i="9"/>
  <c r="BK29" i="9"/>
  <c r="BL29" i="9"/>
  <c r="BM29" i="9"/>
  <c r="BN29" i="9"/>
  <c r="BO29" i="9"/>
  <c r="BP29" i="9"/>
  <c r="BK30" i="9"/>
  <c r="BL30" i="9"/>
  <c r="BM30" i="9"/>
  <c r="BN30" i="9"/>
  <c r="BO30" i="9"/>
  <c r="BP30" i="9"/>
  <c r="BK34" i="9"/>
  <c r="BK35" i="9"/>
  <c r="BK39" i="9"/>
  <c r="BK43" i="9"/>
  <c r="BL43" i="9"/>
  <c r="BM43" i="9"/>
  <c r="BN43" i="9"/>
  <c r="BO43" i="9"/>
  <c r="BP43" i="9"/>
  <c r="BK45" i="9"/>
  <c r="BK46" i="9"/>
  <c r="BK47" i="9"/>
  <c r="BL47" i="9"/>
  <c r="BM47" i="9"/>
  <c r="BN47" i="9"/>
  <c r="BO47" i="9"/>
  <c r="BP47" i="9"/>
  <c r="BK48" i="9"/>
  <c r="BL48" i="9"/>
  <c r="BM48" i="9"/>
  <c r="BN48" i="9"/>
  <c r="BO48" i="9"/>
  <c r="BP48" i="9"/>
  <c r="BK49" i="9"/>
  <c r="BL49" i="9"/>
  <c r="BM49" i="9"/>
  <c r="BN49" i="9"/>
  <c r="BO49" i="9"/>
  <c r="BP49" i="9"/>
  <c r="BK50" i="9"/>
  <c r="BK51" i="9"/>
  <c r="BK52" i="9"/>
  <c r="BK54" i="9"/>
  <c r="BL54" i="9"/>
  <c r="BM54" i="9"/>
  <c r="BN54" i="9"/>
  <c r="BO54" i="9"/>
  <c r="BP54" i="9"/>
  <c r="BK55" i="9"/>
  <c r="BK56" i="9"/>
  <c r="BK57" i="9"/>
  <c r="BL57" i="9"/>
  <c r="BM57" i="9"/>
  <c r="BN57" i="9"/>
  <c r="BO57" i="9"/>
  <c r="BK58" i="9"/>
  <c r="BL58" i="9"/>
  <c r="BM58" i="9"/>
  <c r="BN58" i="9"/>
  <c r="BK59" i="9"/>
  <c r="BK60" i="9"/>
  <c r="BL60" i="9"/>
  <c r="BM60" i="9"/>
  <c r="BN60" i="9"/>
  <c r="BO60" i="9"/>
  <c r="BP60" i="9"/>
  <c r="BK61" i="9"/>
  <c r="BK63" i="9"/>
  <c r="BL63" i="9"/>
  <c r="BM63" i="9"/>
  <c r="BN63" i="9"/>
  <c r="BO63" i="9"/>
  <c r="BP63" i="9"/>
  <c r="BK64" i="9"/>
  <c r="BK65" i="9"/>
  <c r="BK66" i="9"/>
  <c r="BL66" i="9"/>
  <c r="BM66" i="9"/>
  <c r="BN66" i="9"/>
  <c r="BO66" i="9"/>
  <c r="BP66" i="9"/>
  <c r="BK67" i="9"/>
  <c r="BK70" i="9"/>
  <c r="BL70" i="9"/>
  <c r="BM70" i="9"/>
  <c r="BN70" i="9"/>
  <c r="BO70" i="9"/>
  <c r="BP70" i="9"/>
  <c r="BK71" i="9"/>
  <c r="BK73" i="9"/>
  <c r="BL73" i="9"/>
  <c r="BM73" i="9"/>
  <c r="BN73" i="9"/>
  <c r="BO73" i="9"/>
  <c r="BP73" i="9"/>
  <c r="BK74" i="9"/>
  <c r="BK75" i="9"/>
  <c r="BK76" i="9"/>
  <c r="BK77" i="9"/>
  <c r="BL77" i="9"/>
  <c r="BM77" i="9"/>
  <c r="BN77" i="9"/>
  <c r="BO77" i="9"/>
  <c r="BP77" i="9"/>
  <c r="BK78" i="9"/>
  <c r="BK80" i="9"/>
  <c r="C29" i="17"/>
  <c r="BJ58" i="3"/>
  <c r="B66" i="17"/>
  <c r="B64" i="17"/>
  <c r="B62" i="17"/>
  <c r="B61" i="17"/>
  <c r="B60" i="17"/>
  <c r="B53" i="17"/>
  <c r="B54" i="17"/>
  <c r="B55" i="17"/>
  <c r="B56" i="17"/>
  <c r="D50" i="17"/>
  <c r="B13" i="17"/>
  <c r="B11" i="17"/>
  <c r="B10" i="17"/>
  <c r="B9" i="17"/>
  <c r="B8" i="17"/>
  <c r="B7" i="17"/>
  <c r="B6" i="17"/>
  <c r="B5" i="17"/>
  <c r="B4" i="17"/>
  <c r="BO74" i="3"/>
  <c r="BN74" i="3"/>
  <c r="BM74" i="3"/>
  <c r="BL74" i="3"/>
  <c r="BK74" i="3"/>
  <c r="BO73" i="3"/>
  <c r="BN73" i="3"/>
  <c r="BM73" i="3"/>
  <c r="BL73" i="3"/>
  <c r="BK73" i="3"/>
  <c r="BO72" i="3"/>
  <c r="BN72" i="3"/>
  <c r="BM72" i="3"/>
  <c r="BL72" i="3"/>
  <c r="BK72" i="3"/>
  <c r="BO71" i="3"/>
  <c r="BN71" i="3"/>
  <c r="BM71" i="3"/>
  <c r="BL71" i="3"/>
  <c r="BK71" i="3"/>
  <c r="BO70" i="3"/>
  <c r="BN70" i="3"/>
  <c r="BM70" i="3"/>
  <c r="BL70" i="3"/>
  <c r="BK70" i="3"/>
  <c r="BO69" i="3"/>
  <c r="BN69" i="3"/>
  <c r="BM69" i="3"/>
  <c r="BL69" i="3"/>
  <c r="BK69" i="3"/>
  <c r="BO68" i="3"/>
  <c r="BN68" i="3"/>
  <c r="BM68" i="3"/>
  <c r="BL68" i="3"/>
  <c r="O20" i="9"/>
  <c r="P20" i="9"/>
  <c r="Q20" i="9"/>
  <c r="R20" i="9"/>
  <c r="S20" i="9"/>
  <c r="T20" i="9"/>
  <c r="U20" i="9"/>
  <c r="V20" i="9"/>
  <c r="W20" i="9"/>
  <c r="X20" i="9"/>
  <c r="Y20" i="9"/>
  <c r="AA20" i="9"/>
  <c r="AB20" i="9"/>
  <c r="AC20" i="9"/>
  <c r="AD20" i="9"/>
  <c r="AE20" i="9"/>
  <c r="AF20" i="9"/>
  <c r="AG20" i="9"/>
  <c r="AH20" i="9"/>
  <c r="AI20" i="9"/>
  <c r="AJ20" i="9"/>
  <c r="AK20" i="9"/>
  <c r="AM20" i="9"/>
  <c r="AN20" i="9"/>
  <c r="AO20" i="9"/>
  <c r="AP20" i="9"/>
  <c r="AQ20" i="9"/>
  <c r="AR20" i="9"/>
  <c r="AS20" i="9"/>
  <c r="AT20" i="9"/>
  <c r="AU20" i="9"/>
  <c r="AV20" i="9"/>
  <c r="AW20" i="9"/>
  <c r="AY20" i="9"/>
  <c r="AZ20" i="9"/>
  <c r="BA20" i="9"/>
  <c r="BB20" i="9"/>
  <c r="BC20" i="9"/>
  <c r="BD20" i="9"/>
  <c r="BE20" i="9"/>
  <c r="BF20" i="9"/>
  <c r="BG20" i="9"/>
  <c r="BH20" i="9"/>
  <c r="BI20" i="9"/>
  <c r="C136" i="3"/>
  <c r="D136" i="3"/>
  <c r="E136" i="3"/>
  <c r="F136" i="3"/>
  <c r="G136" i="3"/>
  <c r="H136" i="3"/>
  <c r="I136" i="3"/>
  <c r="J136" i="3"/>
  <c r="K136" i="3"/>
  <c r="L136" i="3"/>
  <c r="M136" i="3"/>
  <c r="N136" i="3"/>
  <c r="O136" i="3"/>
  <c r="P136" i="3"/>
  <c r="Q136" i="3"/>
  <c r="R136" i="3"/>
  <c r="S136" i="3"/>
  <c r="T136" i="3"/>
  <c r="U136" i="3"/>
  <c r="V136" i="3"/>
  <c r="W136" i="3"/>
  <c r="X136" i="3"/>
  <c r="Y136" i="3"/>
  <c r="Z136" i="3"/>
  <c r="AA136" i="3"/>
  <c r="AB136" i="3"/>
  <c r="AC136" i="3"/>
  <c r="AD136" i="3"/>
  <c r="AE136" i="3"/>
  <c r="AF136" i="3"/>
  <c r="AG136" i="3"/>
  <c r="AH136" i="3"/>
  <c r="AI136" i="3"/>
  <c r="AJ136" i="3"/>
  <c r="AK136" i="3"/>
  <c r="AL136" i="3"/>
  <c r="AM136" i="3"/>
  <c r="AN136" i="3"/>
  <c r="AO136" i="3"/>
  <c r="AP136" i="3"/>
  <c r="AQ136" i="3"/>
  <c r="AR136" i="3"/>
  <c r="AS136" i="3"/>
  <c r="AT136" i="3"/>
  <c r="AU136" i="3"/>
  <c r="AV136" i="3"/>
  <c r="AW136" i="3"/>
  <c r="AX136" i="3"/>
  <c r="AY136" i="3"/>
  <c r="AZ136" i="3"/>
  <c r="BA136" i="3"/>
  <c r="BB136" i="3"/>
  <c r="BC136" i="3"/>
  <c r="BD136" i="3"/>
  <c r="BE136" i="3"/>
  <c r="BF136" i="3"/>
  <c r="BG136" i="3"/>
  <c r="BH136" i="3"/>
  <c r="BI136" i="3"/>
  <c r="B136" i="3"/>
  <c r="BL77" i="3"/>
  <c r="E40" i="17"/>
  <c r="B68" i="3"/>
  <c r="BK68" i="3"/>
  <c r="F40" i="17"/>
  <c r="M20" i="9"/>
  <c r="L20" i="9"/>
  <c r="K20" i="9"/>
  <c r="J20" i="9"/>
  <c r="I20" i="9"/>
  <c r="H20" i="9"/>
  <c r="G20" i="9"/>
  <c r="F20" i="9"/>
  <c r="E20" i="9"/>
  <c r="D20" i="9"/>
  <c r="C20" i="9"/>
  <c r="C33" i="14"/>
  <c r="C35" i="14" s="1"/>
  <c r="D8" i="14"/>
  <c r="D11" i="14"/>
  <c r="BK40" i="9"/>
  <c r="BK38" i="9"/>
  <c r="G40" i="17"/>
  <c r="H40" i="17"/>
  <c r="BK17" i="14"/>
  <c r="BP25" i="9"/>
  <c r="B5" i="12"/>
  <c r="D61" i="5" s="1"/>
  <c r="E53" i="12"/>
  <c r="E50" i="12"/>
  <c r="E47" i="12"/>
  <c r="E32" i="12"/>
  <c r="E24" i="12"/>
  <c r="E47" i="17"/>
  <c r="E46" i="17"/>
  <c r="K13" i="10"/>
  <c r="K14" i="10"/>
  <c r="K15" i="10"/>
  <c r="K16" i="10" s="1"/>
  <c r="K17" i="10" s="1"/>
  <c r="K18" i="10" s="1"/>
  <c r="BK77" i="3"/>
  <c r="B137" i="3"/>
  <c r="C17" i="1"/>
  <c r="B17" i="1"/>
  <c r="C16" i="1"/>
  <c r="B16" i="1"/>
  <c r="C14" i="1"/>
  <c r="C27" i="1" s="1"/>
  <c r="C8" i="1"/>
  <c r="B10" i="1"/>
  <c r="C10" i="1"/>
  <c r="C29" i="1"/>
  <c r="C31" i="1" s="1"/>
  <c r="C35" i="1" s="1"/>
  <c r="BK20" i="9"/>
  <c r="BN77" i="3" l="1"/>
  <c r="E5" i="12"/>
  <c r="D60" i="5" s="1"/>
  <c r="BO77" i="3"/>
  <c r="BP31" i="9"/>
  <c r="H89" i="17" s="1"/>
  <c r="D14" i="14"/>
  <c r="D13" i="14"/>
  <c r="D12" i="14"/>
  <c r="E11" i="14"/>
  <c r="BM77" i="3"/>
  <c r="B27" i="1"/>
  <c r="B29" i="1" s="1"/>
  <c r="B31" i="1" s="1"/>
  <c r="B35" i="1" s="1"/>
  <c r="B92" i="3" s="1"/>
  <c r="B103" i="3" s="1"/>
  <c r="C15" i="3"/>
  <c r="D7" i="3"/>
  <c r="D9" i="3" s="1"/>
  <c r="C34" i="3"/>
  <c r="B78" i="3"/>
  <c r="B15" i="3"/>
  <c r="B16" i="3"/>
  <c r="C11" i="3"/>
  <c r="C13" i="3" s="1"/>
  <c r="D11" i="3" l="1"/>
  <c r="D13" i="3" s="1"/>
  <c r="C16" i="3"/>
  <c r="C64" i="3"/>
  <c r="C23" i="3"/>
  <c r="C35" i="3"/>
  <c r="C17" i="3"/>
  <c r="C18" i="3" s="1"/>
  <c r="B111" i="3"/>
  <c r="D15" i="14"/>
  <c r="B19" i="3"/>
  <c r="B79" i="3"/>
  <c r="C22" i="3"/>
  <c r="C36" i="3"/>
  <c r="E14" i="14"/>
  <c r="E13" i="14"/>
  <c r="F11" i="14"/>
  <c r="B17" i="3"/>
  <c r="B18" i="3" s="1"/>
  <c r="E7" i="3"/>
  <c r="E9" i="3" s="1"/>
  <c r="D15" i="3"/>
  <c r="D23" i="3"/>
  <c r="D40" i="3" s="1"/>
  <c r="D34" i="3"/>
  <c r="D16" i="14"/>
  <c r="C111" i="3" l="1"/>
  <c r="E15" i="14"/>
  <c r="D6" i="9"/>
  <c r="C93" i="3"/>
  <c r="C97" i="3"/>
  <c r="C102" i="3"/>
  <c r="C99" i="3"/>
  <c r="C78" i="3"/>
  <c r="C98" i="3"/>
  <c r="C94" i="3"/>
  <c r="C100" i="3"/>
  <c r="C95" i="3"/>
  <c r="C101" i="3"/>
  <c r="C96" i="3"/>
  <c r="C137" i="3"/>
  <c r="D16" i="3"/>
  <c r="D17" i="3" s="1"/>
  <c r="D18" i="3" s="1"/>
  <c r="D64" i="3"/>
  <c r="E11" i="3"/>
  <c r="E13" i="3" s="1"/>
  <c r="D35" i="3"/>
  <c r="F14" i="14"/>
  <c r="F13" i="14"/>
  <c r="F12" i="14"/>
  <c r="F16" i="14" s="1"/>
  <c r="G11" i="14"/>
  <c r="C40" i="3"/>
  <c r="D36" i="3"/>
  <c r="B24" i="3"/>
  <c r="D32" i="14"/>
  <c r="B62" i="3"/>
  <c r="E48" i="17"/>
  <c r="B84" i="3"/>
  <c r="B85" i="3"/>
  <c r="E49" i="17"/>
  <c r="C24" i="3"/>
  <c r="C62" i="3"/>
  <c r="C39" i="3"/>
  <c r="D22" i="3"/>
  <c r="E34" i="3"/>
  <c r="F7" i="3"/>
  <c r="F9" i="3" s="1"/>
  <c r="E23" i="3"/>
  <c r="E40" i="3" s="1"/>
  <c r="E15" i="3"/>
  <c r="E12" i="14"/>
  <c r="E16" i="14" s="1"/>
  <c r="B83" i="3"/>
  <c r="B86" i="3"/>
  <c r="B87" i="3"/>
  <c r="B81" i="3"/>
  <c r="B82" i="3"/>
  <c r="D24" i="3" l="1"/>
  <c r="D62" i="3"/>
  <c r="D26" i="3"/>
  <c r="D39" i="3"/>
  <c r="C19" i="3"/>
  <c r="C79" i="3"/>
  <c r="B88" i="3"/>
  <c r="D55" i="9"/>
  <c r="D14" i="9"/>
  <c r="D51" i="9"/>
  <c r="D111" i="3"/>
  <c r="F15" i="14"/>
  <c r="D33" i="14"/>
  <c r="D36" i="14"/>
  <c r="D34" i="14" s="1"/>
  <c r="D99" i="3"/>
  <c r="E6" i="9"/>
  <c r="D93" i="3"/>
  <c r="D97" i="3"/>
  <c r="D102" i="3"/>
  <c r="D78" i="3"/>
  <c r="D94" i="3"/>
  <c r="D100" i="3"/>
  <c r="D95" i="3"/>
  <c r="D101" i="3"/>
  <c r="D96" i="3"/>
  <c r="D98" i="3"/>
  <c r="D137" i="3"/>
  <c r="D58" i="3"/>
  <c r="C103" i="3"/>
  <c r="G7" i="3"/>
  <c r="G9" i="3" s="1"/>
  <c r="F15" i="3"/>
  <c r="F23" i="3"/>
  <c r="F40" i="3" s="1"/>
  <c r="F34" i="3"/>
  <c r="E64" i="3"/>
  <c r="E35" i="3"/>
  <c r="F11" i="3"/>
  <c r="F13" i="3" s="1"/>
  <c r="F22" i="3" s="1"/>
  <c r="E16" i="3"/>
  <c r="E17" i="3" s="1"/>
  <c r="E18" i="3" s="1"/>
  <c r="E22" i="3"/>
  <c r="C26" i="3"/>
  <c r="B26" i="3"/>
  <c r="G13" i="14"/>
  <c r="G14" i="14"/>
  <c r="G12" i="14"/>
  <c r="H11" i="14"/>
  <c r="F39" i="3" l="1"/>
  <c r="E24" i="3"/>
  <c r="E62" i="3"/>
  <c r="H14" i="14"/>
  <c r="H13" i="14"/>
  <c r="I11" i="14"/>
  <c r="E36" i="3"/>
  <c r="H7" i="3"/>
  <c r="H9" i="3" s="1"/>
  <c r="G15" i="3"/>
  <c r="G34" i="3"/>
  <c r="D103" i="3"/>
  <c r="G16" i="14"/>
  <c r="H12" i="14" s="1"/>
  <c r="H16" i="14" s="1"/>
  <c r="C58" i="3"/>
  <c r="D79" i="3"/>
  <c r="D19" i="3"/>
  <c r="E55" i="9"/>
  <c r="C87" i="3"/>
  <c r="C83" i="3"/>
  <c r="C81" i="3"/>
  <c r="C86" i="3"/>
  <c r="C38" i="9"/>
  <c r="D15" i="9"/>
  <c r="D46" i="9"/>
  <c r="C84" i="3"/>
  <c r="C85" i="3"/>
  <c r="C82" i="3"/>
  <c r="E32" i="14"/>
  <c r="B58" i="3"/>
  <c r="E26" i="3"/>
  <c r="E39" i="3"/>
  <c r="E111" i="3"/>
  <c r="G15" i="14"/>
  <c r="F16" i="3"/>
  <c r="F17" i="3" s="1"/>
  <c r="F18" i="3" s="1"/>
  <c r="G11" i="3"/>
  <c r="G13" i="3" s="1"/>
  <c r="F35" i="3"/>
  <c r="F64" i="3"/>
  <c r="E14" i="9"/>
  <c r="E51" i="9"/>
  <c r="D35" i="14"/>
  <c r="F24" i="3" l="1"/>
  <c r="F62" i="3"/>
  <c r="H11" i="3"/>
  <c r="H13" i="3" s="1"/>
  <c r="G16" i="3"/>
  <c r="G17" i="3" s="1"/>
  <c r="G18" i="3" s="1"/>
  <c r="G64" i="3"/>
  <c r="G35" i="3"/>
  <c r="D64" i="9"/>
  <c r="D65" i="9" s="1"/>
  <c r="C88" i="3"/>
  <c r="F36" i="3"/>
  <c r="G23" i="3"/>
  <c r="G40" i="3" s="1"/>
  <c r="G22" i="3"/>
  <c r="C76" i="9"/>
  <c r="D84" i="3"/>
  <c r="D85" i="3"/>
  <c r="D82" i="3"/>
  <c r="F32" i="14"/>
  <c r="G36" i="3"/>
  <c r="F6" i="9"/>
  <c r="E93" i="3"/>
  <c r="E97" i="3"/>
  <c r="E102" i="3"/>
  <c r="E78" i="3"/>
  <c r="E99" i="3"/>
  <c r="E95" i="3"/>
  <c r="E101" i="3"/>
  <c r="E96" i="3"/>
  <c r="E98" i="3"/>
  <c r="E94" i="3"/>
  <c r="E100" i="3"/>
  <c r="E137" i="3"/>
  <c r="E58" i="3"/>
  <c r="F111" i="3"/>
  <c r="H15" i="14"/>
  <c r="E15" i="9"/>
  <c r="E46" i="9"/>
  <c r="D83" i="3"/>
  <c r="D87" i="3"/>
  <c r="D81" i="3"/>
  <c r="D86" i="3"/>
  <c r="F36" i="14"/>
  <c r="E33" i="14"/>
  <c r="E36" i="14"/>
  <c r="E34" i="14" s="1"/>
  <c r="I7" i="3"/>
  <c r="I9" i="3" s="1"/>
  <c r="H15" i="3"/>
  <c r="H23" i="3"/>
  <c r="H40" i="3" s="1"/>
  <c r="H22" i="3"/>
  <c r="H34" i="3"/>
  <c r="I14" i="14"/>
  <c r="I13" i="14"/>
  <c r="I12" i="14"/>
  <c r="I16" i="14" s="1"/>
  <c r="J11" i="14"/>
  <c r="G24" i="3" l="1"/>
  <c r="G62" i="3"/>
  <c r="H39" i="3"/>
  <c r="F14" i="9"/>
  <c r="F51" i="9"/>
  <c r="E79" i="3"/>
  <c r="E19" i="3"/>
  <c r="F55" i="9"/>
  <c r="F26" i="3"/>
  <c r="G111" i="3"/>
  <c r="I15" i="14"/>
  <c r="D88" i="3"/>
  <c r="H17" i="3"/>
  <c r="H18" i="3" s="1"/>
  <c r="E64" i="9"/>
  <c r="E65" i="9" s="1"/>
  <c r="F33" i="14"/>
  <c r="F35" i="14" s="1"/>
  <c r="G26" i="3"/>
  <c r="G39" i="3"/>
  <c r="F34" i="14"/>
  <c r="D38" i="9"/>
  <c r="F78" i="3"/>
  <c r="G6" i="9"/>
  <c r="F93" i="3"/>
  <c r="F97" i="3"/>
  <c r="F102" i="3"/>
  <c r="F99" i="3"/>
  <c r="F96" i="3"/>
  <c r="F98" i="3"/>
  <c r="F94" i="3"/>
  <c r="F100" i="3"/>
  <c r="F95" i="3"/>
  <c r="F101" i="3"/>
  <c r="F58" i="3"/>
  <c r="F137" i="3"/>
  <c r="E35" i="14"/>
  <c r="H6" i="9"/>
  <c r="G93" i="3"/>
  <c r="G97" i="3"/>
  <c r="G102" i="3"/>
  <c r="G99" i="3"/>
  <c r="G78" i="3"/>
  <c r="G98" i="3"/>
  <c r="G94" i="3"/>
  <c r="G100" i="3"/>
  <c r="G95" i="3"/>
  <c r="G101" i="3"/>
  <c r="G96" i="3"/>
  <c r="G137" i="3"/>
  <c r="I11" i="3"/>
  <c r="I13" i="3" s="1"/>
  <c r="H16" i="3"/>
  <c r="H64" i="3"/>
  <c r="H35" i="3"/>
  <c r="J14" i="14"/>
  <c r="J13" i="14"/>
  <c r="J12" i="14"/>
  <c r="K11" i="14"/>
  <c r="H36" i="3"/>
  <c r="I15" i="3"/>
  <c r="J7" i="3"/>
  <c r="J9" i="3" s="1"/>
  <c r="I34" i="3"/>
  <c r="E103" i="3"/>
  <c r="J15" i="3" l="1"/>
  <c r="J23" i="3"/>
  <c r="J40" i="3" s="1"/>
  <c r="K7" i="3"/>
  <c r="K9" i="3" s="1"/>
  <c r="J34" i="3"/>
  <c r="H96" i="3"/>
  <c r="H101" i="3"/>
  <c r="I6" i="9"/>
  <c r="H78" i="3"/>
  <c r="H93" i="3"/>
  <c r="H103" i="3" s="1"/>
  <c r="H97" i="3"/>
  <c r="H102" i="3"/>
  <c r="H94" i="3"/>
  <c r="H99" i="3"/>
  <c r="H95" i="3"/>
  <c r="H98" i="3"/>
  <c r="H100" i="3"/>
  <c r="H137" i="3"/>
  <c r="J11" i="3"/>
  <c r="J13" i="3" s="1"/>
  <c r="I16" i="3"/>
  <c r="I17" i="3" s="1"/>
  <c r="I18" i="3" s="1"/>
  <c r="I64" i="3"/>
  <c r="I35" i="3"/>
  <c r="I55" i="9"/>
  <c r="G14" i="9"/>
  <c r="G51" i="9"/>
  <c r="F103" i="3"/>
  <c r="I22" i="3"/>
  <c r="H55" i="9"/>
  <c r="E84" i="3"/>
  <c r="E85" i="3"/>
  <c r="E82" i="3"/>
  <c r="G32" i="14"/>
  <c r="I23" i="3"/>
  <c r="I40" i="3" s="1"/>
  <c r="F19" i="3"/>
  <c r="F79" i="3"/>
  <c r="D76" i="9"/>
  <c r="E87" i="3"/>
  <c r="E83" i="3"/>
  <c r="E81" i="3"/>
  <c r="E86" i="3"/>
  <c r="K14" i="14"/>
  <c r="K13" i="14"/>
  <c r="K12" i="14"/>
  <c r="K16" i="14" s="1"/>
  <c r="L11" i="14"/>
  <c r="H24" i="3"/>
  <c r="H62" i="3"/>
  <c r="F15" i="9"/>
  <c r="F46" i="9"/>
  <c r="J16" i="14"/>
  <c r="I36" i="3"/>
  <c r="H111" i="3"/>
  <c r="J15" i="14"/>
  <c r="G58" i="3"/>
  <c r="H51" i="9"/>
  <c r="G19" i="3"/>
  <c r="G79" i="3"/>
  <c r="G103" i="3"/>
  <c r="E38" i="9"/>
  <c r="G55" i="9"/>
  <c r="I24" i="3" l="1"/>
  <c r="I62" i="3"/>
  <c r="G87" i="3"/>
  <c r="G83" i="3"/>
  <c r="G81" i="3"/>
  <c r="G86" i="3"/>
  <c r="G84" i="3"/>
  <c r="G85" i="3"/>
  <c r="G82" i="3"/>
  <c r="I32" i="14"/>
  <c r="J6" i="9"/>
  <c r="I78" i="3"/>
  <c r="I93" i="3"/>
  <c r="I97" i="3"/>
  <c r="I102" i="3"/>
  <c r="I94" i="3"/>
  <c r="I98" i="3"/>
  <c r="I99" i="3"/>
  <c r="I95" i="3"/>
  <c r="I96" i="3"/>
  <c r="I100" i="3"/>
  <c r="I101" i="3"/>
  <c r="I137" i="3"/>
  <c r="F87" i="3"/>
  <c r="F83" i="3"/>
  <c r="F81" i="3"/>
  <c r="F86" i="3"/>
  <c r="J17" i="3"/>
  <c r="J18" i="3" s="1"/>
  <c r="E88" i="3"/>
  <c r="F85" i="3"/>
  <c r="F84" i="3"/>
  <c r="F82" i="3"/>
  <c r="H32" i="14"/>
  <c r="H36" i="14"/>
  <c r="G33" i="14"/>
  <c r="G36" i="14"/>
  <c r="G34" i="14" s="1"/>
  <c r="K11" i="3"/>
  <c r="K13" i="3" s="1"/>
  <c r="J16" i="3"/>
  <c r="J64" i="3"/>
  <c r="J35" i="3"/>
  <c r="J36" i="3" s="1"/>
  <c r="J55" i="9"/>
  <c r="J22" i="3"/>
  <c r="E76" i="9"/>
  <c r="I111" i="3"/>
  <c r="K15" i="14"/>
  <c r="I39" i="3"/>
  <c r="I26" i="3"/>
  <c r="G15" i="9"/>
  <c r="G46" i="9"/>
  <c r="I51" i="9"/>
  <c r="H19" i="3"/>
  <c r="H79" i="3"/>
  <c r="H26" i="3"/>
  <c r="H14" i="9"/>
  <c r="F64" i="9"/>
  <c r="F65" i="9" s="1"/>
  <c r="L14" i="14"/>
  <c r="L12" i="14"/>
  <c r="L16" i="14" s="1"/>
  <c r="L13" i="14"/>
  <c r="M11" i="14"/>
  <c r="K22" i="3"/>
  <c r="L7" i="3"/>
  <c r="L9" i="3" s="1"/>
  <c r="K15" i="3"/>
  <c r="K23" i="3"/>
  <c r="K40" i="3" s="1"/>
  <c r="K34" i="3"/>
  <c r="J94" i="3" l="1"/>
  <c r="J98" i="3"/>
  <c r="K6" i="9"/>
  <c r="J96" i="3"/>
  <c r="J102" i="3"/>
  <c r="J99" i="3"/>
  <c r="J97" i="3"/>
  <c r="J93" i="3"/>
  <c r="J100" i="3"/>
  <c r="J78" i="3"/>
  <c r="J101" i="3"/>
  <c r="J95" i="3"/>
  <c r="J137" i="3"/>
  <c r="J111" i="3"/>
  <c r="L15" i="14"/>
  <c r="H84" i="3"/>
  <c r="H85" i="3"/>
  <c r="H82" i="3"/>
  <c r="J32" i="14"/>
  <c r="K39" i="3"/>
  <c r="I36" i="14"/>
  <c r="H33" i="14"/>
  <c r="K55" i="9"/>
  <c r="G88" i="3"/>
  <c r="G64" i="9"/>
  <c r="G65" i="9" s="1"/>
  <c r="J24" i="3"/>
  <c r="J62" i="3"/>
  <c r="I19" i="3"/>
  <c r="I79" i="3"/>
  <c r="H15" i="9"/>
  <c r="H46" i="9"/>
  <c r="I14" i="9"/>
  <c r="L11" i="3"/>
  <c r="L13" i="3" s="1"/>
  <c r="K16" i="3"/>
  <c r="K35" i="3"/>
  <c r="K36" i="3" s="1"/>
  <c r="K64" i="3"/>
  <c r="H34" i="14"/>
  <c r="F38" i="9"/>
  <c r="J36" i="14"/>
  <c r="I33" i="14"/>
  <c r="M7" i="3"/>
  <c r="M9" i="3" s="1"/>
  <c r="L15" i="3"/>
  <c r="L23" i="3"/>
  <c r="L40" i="3" s="1"/>
  <c r="L34" i="3"/>
  <c r="J39" i="3"/>
  <c r="J26" i="3"/>
  <c r="J58" i="3" s="1"/>
  <c r="H58" i="3"/>
  <c r="K17" i="3"/>
  <c r="K18" i="3" s="1"/>
  <c r="M14" i="14"/>
  <c r="M13" i="14"/>
  <c r="M12" i="14"/>
  <c r="N11" i="14"/>
  <c r="H86" i="3"/>
  <c r="H87" i="3"/>
  <c r="H83" i="3"/>
  <c r="H81" i="3"/>
  <c r="G35" i="14"/>
  <c r="F88" i="3"/>
  <c r="I58" i="3"/>
  <c r="J51" i="9"/>
  <c r="I103" i="3"/>
  <c r="K99" i="3" l="1"/>
  <c r="K95" i="3"/>
  <c r="K100" i="3"/>
  <c r="K96" i="3"/>
  <c r="K101" i="3"/>
  <c r="L6" i="9"/>
  <c r="K78" i="3"/>
  <c r="K93" i="3"/>
  <c r="K97" i="3"/>
  <c r="K102" i="3"/>
  <c r="K98" i="3"/>
  <c r="K137" i="3"/>
  <c r="K94" i="3"/>
  <c r="G38" i="9"/>
  <c r="I34" i="14"/>
  <c r="K51" i="9"/>
  <c r="K111" i="3"/>
  <c r="M15" i="14"/>
  <c r="I87" i="3"/>
  <c r="I81" i="3"/>
  <c r="I83" i="3"/>
  <c r="I86" i="3"/>
  <c r="I84" i="3"/>
  <c r="I85" i="3"/>
  <c r="I82" i="3"/>
  <c r="K32" i="14"/>
  <c r="H88" i="3"/>
  <c r="K24" i="3"/>
  <c r="K62" i="3"/>
  <c r="M22" i="3"/>
  <c r="M15" i="3"/>
  <c r="N7" i="3"/>
  <c r="N9" i="3" s="1"/>
  <c r="M34" i="3"/>
  <c r="BK9" i="3"/>
  <c r="F46" i="17" s="1"/>
  <c r="K36" i="14"/>
  <c r="J33" i="14"/>
  <c r="J103" i="3"/>
  <c r="L16" i="3"/>
  <c r="L17" i="3" s="1"/>
  <c r="L18" i="3" s="1"/>
  <c r="M11" i="3"/>
  <c r="M13" i="3" s="1"/>
  <c r="M23" i="3" s="1"/>
  <c r="L64" i="3"/>
  <c r="L35" i="3"/>
  <c r="L36" i="3" s="1"/>
  <c r="J19" i="3"/>
  <c r="J79" i="3"/>
  <c r="L55" i="9"/>
  <c r="I15" i="9"/>
  <c r="I46" i="9"/>
  <c r="H35" i="14"/>
  <c r="J14" i="9"/>
  <c r="N14" i="14"/>
  <c r="N13" i="14"/>
  <c r="O11" i="14"/>
  <c r="M16" i="14"/>
  <c r="L22" i="3"/>
  <c r="F76" i="9"/>
  <c r="H64" i="9"/>
  <c r="H65" i="9" s="1"/>
  <c r="L24" i="3" l="1"/>
  <c r="L62" i="3"/>
  <c r="M40" i="3"/>
  <c r="BK40" i="3" s="1"/>
  <c r="BK23" i="3"/>
  <c r="L96" i="3"/>
  <c r="L101" i="3"/>
  <c r="M6" i="9"/>
  <c r="L78" i="3"/>
  <c r="L93" i="3"/>
  <c r="L97" i="3"/>
  <c r="L102" i="3"/>
  <c r="L94" i="3"/>
  <c r="L98" i="3"/>
  <c r="L99" i="3"/>
  <c r="L100" i="3"/>
  <c r="L95" i="3"/>
  <c r="L137" i="3"/>
  <c r="J34" i="14"/>
  <c r="H38" i="9"/>
  <c r="M55" i="9"/>
  <c r="L51" i="9"/>
  <c r="L111" i="3"/>
  <c r="N15" i="14"/>
  <c r="M39" i="3"/>
  <c r="BK22" i="3"/>
  <c r="K19" i="3"/>
  <c r="K79" i="3"/>
  <c r="J35" i="14"/>
  <c r="L26" i="3"/>
  <c r="L39" i="3"/>
  <c r="O14" i="14"/>
  <c r="O13" i="14"/>
  <c r="O12" i="14"/>
  <c r="O16" i="14" s="1"/>
  <c r="P11" i="14"/>
  <c r="J15" i="9"/>
  <c r="J46" i="9"/>
  <c r="I64" i="9"/>
  <c r="I65" i="9" s="1"/>
  <c r="J83" i="3"/>
  <c r="J81" i="3"/>
  <c r="J86" i="3"/>
  <c r="J87" i="3"/>
  <c r="I35" i="14"/>
  <c r="K14" i="9"/>
  <c r="G76" i="9"/>
  <c r="M36" i="3"/>
  <c r="BK34" i="3"/>
  <c r="K26" i="3"/>
  <c r="I88" i="3"/>
  <c r="N22" i="3"/>
  <c r="N15" i="3"/>
  <c r="O7" i="3"/>
  <c r="O9" i="3" s="1"/>
  <c r="N34" i="3"/>
  <c r="N12" i="14"/>
  <c r="N16" i="14" s="1"/>
  <c r="J84" i="3"/>
  <c r="J85" i="3"/>
  <c r="J82" i="3"/>
  <c r="L32" i="14"/>
  <c r="M16" i="3"/>
  <c r="M64" i="3"/>
  <c r="BK64" i="3" s="1"/>
  <c r="N11" i="3"/>
  <c r="N13" i="3" s="1"/>
  <c r="M35" i="3"/>
  <c r="BK35" i="3" s="1"/>
  <c r="BK13" i="3"/>
  <c r="F47" i="17" s="1"/>
  <c r="M17" i="3"/>
  <c r="L36" i="14"/>
  <c r="K33" i="14"/>
  <c r="K103" i="3"/>
  <c r="M111" i="3" l="1"/>
  <c r="O15" i="14"/>
  <c r="BK39" i="3"/>
  <c r="K34" i="14"/>
  <c r="I38" i="9"/>
  <c r="L19" i="3"/>
  <c r="L79" i="3"/>
  <c r="K35" i="14"/>
  <c r="M18" i="3"/>
  <c r="BK17" i="3"/>
  <c r="K15" i="9"/>
  <c r="K46" i="9"/>
  <c r="H76" i="9"/>
  <c r="L103" i="3"/>
  <c r="O15" i="3"/>
  <c r="O34" i="3"/>
  <c r="P7" i="3"/>
  <c r="P9" i="3" s="1"/>
  <c r="D55" i="17"/>
  <c r="M36" i="14"/>
  <c r="L33" i="14"/>
  <c r="K58" i="3"/>
  <c r="J64" i="9"/>
  <c r="J65" i="9" s="1"/>
  <c r="C17" i="14"/>
  <c r="K83" i="3"/>
  <c r="K81" i="3"/>
  <c r="K86" i="3"/>
  <c r="K87" i="3"/>
  <c r="L14" i="9"/>
  <c r="M14" i="9"/>
  <c r="M51" i="9"/>
  <c r="BQ64" i="3"/>
  <c r="N39" i="3"/>
  <c r="BQ34" i="3"/>
  <c r="D54" i="17"/>
  <c r="L58" i="3"/>
  <c r="N6" i="9"/>
  <c r="M78" i="3"/>
  <c r="M93" i="3"/>
  <c r="M97" i="3"/>
  <c r="BK97" i="3" s="1"/>
  <c r="M102" i="3"/>
  <c r="BK102" i="3" s="1"/>
  <c r="BQ102" i="3" s="1"/>
  <c r="M94" i="3"/>
  <c r="BK94" i="3" s="1"/>
  <c r="BQ94" i="3" s="1"/>
  <c r="M98" i="3"/>
  <c r="BK98" i="3" s="1"/>
  <c r="BQ98" i="3" s="1"/>
  <c r="M99" i="3"/>
  <c r="M95" i="3"/>
  <c r="BK95" i="3" s="1"/>
  <c r="BQ95" i="3" s="1"/>
  <c r="M100" i="3"/>
  <c r="M96" i="3"/>
  <c r="BK96" i="3" s="1"/>
  <c r="M101" i="3"/>
  <c r="BK101" i="3" s="1"/>
  <c r="BQ101" i="3" s="1"/>
  <c r="M137" i="3"/>
  <c r="BK36" i="3"/>
  <c r="J88" i="3"/>
  <c r="N64" i="3"/>
  <c r="N35" i="3"/>
  <c r="N36" i="3" s="1"/>
  <c r="N16" i="3"/>
  <c r="N17" i="3" s="1"/>
  <c r="N18" i="3" s="1"/>
  <c r="O11" i="3"/>
  <c r="O13" i="3" s="1"/>
  <c r="O22" i="3" s="1"/>
  <c r="N23" i="3"/>
  <c r="P13" i="14"/>
  <c r="P14" i="14"/>
  <c r="P12" i="14"/>
  <c r="P16" i="14" s="1"/>
  <c r="Q11" i="14"/>
  <c r="K85" i="3"/>
  <c r="K84" i="3"/>
  <c r="K82" i="3"/>
  <c r="M32" i="14"/>
  <c r="N93" i="3" l="1"/>
  <c r="N97" i="3"/>
  <c r="N102" i="3"/>
  <c r="O6" i="9"/>
  <c r="N78" i="3"/>
  <c r="N94" i="3"/>
  <c r="N98" i="3"/>
  <c r="N95" i="3"/>
  <c r="N100" i="3"/>
  <c r="N101" i="3"/>
  <c r="N96" i="3"/>
  <c r="N99" i="3"/>
  <c r="N137" i="3"/>
  <c r="O39" i="3"/>
  <c r="N24" i="3"/>
  <c r="N62" i="3"/>
  <c r="K88" i="3"/>
  <c r="P15" i="3"/>
  <c r="P34" i="3"/>
  <c r="Q7" i="3"/>
  <c r="Q9" i="3" s="1"/>
  <c r="I76" i="9"/>
  <c r="D17" i="14"/>
  <c r="O55" i="9"/>
  <c r="BL6" i="9"/>
  <c r="L15" i="9"/>
  <c r="L46" i="9"/>
  <c r="J38" i="9"/>
  <c r="L34" i="14"/>
  <c r="O35" i="3"/>
  <c r="O16" i="3"/>
  <c r="P11" i="3"/>
  <c r="P13" i="3" s="1"/>
  <c r="O64" i="3"/>
  <c r="N14" i="9"/>
  <c r="N51" i="9"/>
  <c r="BL51" i="9" s="1"/>
  <c r="BK100" i="3"/>
  <c r="BQ100" i="3" s="1"/>
  <c r="M19" i="3"/>
  <c r="M79" i="3"/>
  <c r="BK78" i="3"/>
  <c r="BQ78" i="3" s="1"/>
  <c r="M15" i="9"/>
  <c r="M46" i="9"/>
  <c r="B25" i="9"/>
  <c r="C18" i="14"/>
  <c r="B33" i="9" s="1"/>
  <c r="BK33" i="9" s="1"/>
  <c r="O23" i="3"/>
  <c r="O40" i="3" s="1"/>
  <c r="M33" i="14"/>
  <c r="N111" i="3"/>
  <c r="P15" i="14"/>
  <c r="BQ71" i="3"/>
  <c r="BQ74" i="3"/>
  <c r="D56" i="17"/>
  <c r="J55" i="17" s="1"/>
  <c r="BQ36" i="3"/>
  <c r="BQ73" i="3"/>
  <c r="BQ68" i="3"/>
  <c r="BQ67" i="3"/>
  <c r="BQ70" i="3"/>
  <c r="BQ69" i="3"/>
  <c r="BQ72" i="3"/>
  <c r="BQ77" i="3"/>
  <c r="BQ96" i="3"/>
  <c r="BK99" i="3"/>
  <c r="BQ99" i="3" s="1"/>
  <c r="BQ97" i="3"/>
  <c r="BQ40" i="3"/>
  <c r="N55" i="9"/>
  <c r="BQ35" i="3"/>
  <c r="O36" i="3"/>
  <c r="L86" i="3"/>
  <c r="L87" i="3"/>
  <c r="L81" i="3"/>
  <c r="L83" i="3"/>
  <c r="BQ39" i="3"/>
  <c r="BK111" i="3"/>
  <c r="BK116" i="3"/>
  <c r="Q14" i="14"/>
  <c r="Q12" i="14"/>
  <c r="Q16" i="14" s="1"/>
  <c r="Q13" i="14"/>
  <c r="R11" i="14"/>
  <c r="N40" i="3"/>
  <c r="M103" i="3"/>
  <c r="BK93" i="3"/>
  <c r="BQ93" i="3" s="1"/>
  <c r="N26" i="3"/>
  <c r="N58" i="3" s="1"/>
  <c r="L35" i="14"/>
  <c r="O17" i="3"/>
  <c r="O18" i="3" s="1"/>
  <c r="K64" i="9"/>
  <c r="K65" i="9" s="1"/>
  <c r="M24" i="3"/>
  <c r="M62" i="3"/>
  <c r="O32" i="14"/>
  <c r="BK18" i="3"/>
  <c r="F48" i="17" s="1"/>
  <c r="L84" i="3"/>
  <c r="L85" i="3"/>
  <c r="L82" i="3"/>
  <c r="N32" i="14"/>
  <c r="O111" i="3" l="1"/>
  <c r="Q15" i="14"/>
  <c r="O33" i="14"/>
  <c r="E17" i="14"/>
  <c r="B31" i="9"/>
  <c r="BK25" i="9"/>
  <c r="M87" i="3"/>
  <c r="BK87" i="3" s="1"/>
  <c r="BQ87" i="3" s="1"/>
  <c r="M83" i="3"/>
  <c r="M81" i="3"/>
  <c r="M86" i="3"/>
  <c r="BK86" i="3" s="1"/>
  <c r="BQ86" i="3" s="1"/>
  <c r="BK79" i="3"/>
  <c r="BQ79" i="3" s="1"/>
  <c r="N15" i="9"/>
  <c r="BL14" i="9"/>
  <c r="N46" i="9"/>
  <c r="BL46" i="9" s="1"/>
  <c r="L64" i="9"/>
  <c r="L65" i="9" s="1"/>
  <c r="P17" i="3"/>
  <c r="P18" i="3" s="1"/>
  <c r="BQ111" i="3"/>
  <c r="D71" i="17"/>
  <c r="J56" i="17"/>
  <c r="M64" i="9"/>
  <c r="M65" i="9" s="1"/>
  <c r="P35" i="3"/>
  <c r="P16" i="3"/>
  <c r="Q11" i="3"/>
  <c r="Q13" i="3" s="1"/>
  <c r="P64" i="3"/>
  <c r="J76" i="9"/>
  <c r="P22" i="3"/>
  <c r="BK62" i="3"/>
  <c r="BQ62" i="3" s="1"/>
  <c r="O24" i="3"/>
  <c r="O62" i="3"/>
  <c r="J54" i="17"/>
  <c r="BL55" i="9"/>
  <c r="P36" i="3"/>
  <c r="BK24" i="3"/>
  <c r="M26" i="3"/>
  <c r="P6" i="9"/>
  <c r="P55" i="9" s="1"/>
  <c r="O78" i="3"/>
  <c r="O94" i="3"/>
  <c r="O98" i="3"/>
  <c r="O95" i="3"/>
  <c r="O100" i="3"/>
  <c r="O101" i="3"/>
  <c r="O93" i="3"/>
  <c r="O102" i="3"/>
  <c r="O99" i="3"/>
  <c r="O96" i="3"/>
  <c r="O97" i="3"/>
  <c r="O137" i="3"/>
  <c r="O36" i="14"/>
  <c r="N33" i="14"/>
  <c r="BK103" i="3"/>
  <c r="R14" i="14"/>
  <c r="R13" i="14"/>
  <c r="R12" i="14"/>
  <c r="S11" i="14"/>
  <c r="L88" i="3"/>
  <c r="N36" i="14"/>
  <c r="M84" i="3"/>
  <c r="BK84" i="3" s="1"/>
  <c r="BQ84" i="3" s="1"/>
  <c r="M85" i="3"/>
  <c r="BK85" i="3" s="1"/>
  <c r="BQ85" i="3" s="1"/>
  <c r="BK19" i="3"/>
  <c r="F49" i="17" s="1"/>
  <c r="M82" i="3"/>
  <c r="BK82" i="3" s="1"/>
  <c r="BQ82" i="3" s="1"/>
  <c r="K38" i="9"/>
  <c r="M34" i="14"/>
  <c r="C25" i="9"/>
  <c r="D18" i="14"/>
  <c r="C33" i="9" s="1"/>
  <c r="C75" i="9" s="1"/>
  <c r="Q15" i="3"/>
  <c r="Q34" i="3"/>
  <c r="R7" i="3"/>
  <c r="R9" i="3" s="1"/>
  <c r="Q22" i="3"/>
  <c r="P23" i="3"/>
  <c r="P40" i="3" s="1"/>
  <c r="O26" i="3"/>
  <c r="O51" i="9"/>
  <c r="O14" i="9"/>
  <c r="N19" i="3"/>
  <c r="N79" i="3"/>
  <c r="N103" i="3"/>
  <c r="Q39" i="3" l="1"/>
  <c r="N35" i="14"/>
  <c r="P24" i="3"/>
  <c r="P62" i="3"/>
  <c r="R15" i="3"/>
  <c r="R34" i="3"/>
  <c r="S7" i="3"/>
  <c r="S9" i="3" s="1"/>
  <c r="R22" i="3"/>
  <c r="N34" i="14"/>
  <c r="L38" i="9"/>
  <c r="S14" i="14"/>
  <c r="S13" i="14"/>
  <c r="T11" i="14"/>
  <c r="D68" i="17"/>
  <c r="J68" i="17" s="1"/>
  <c r="BQ103" i="3"/>
  <c r="Q6" i="9"/>
  <c r="P78" i="3"/>
  <c r="P95" i="3"/>
  <c r="P100" i="3"/>
  <c r="P96" i="3"/>
  <c r="P101" i="3"/>
  <c r="P93" i="3"/>
  <c r="P102" i="3"/>
  <c r="P94" i="3"/>
  <c r="P99" i="3"/>
  <c r="P97" i="3"/>
  <c r="P98" i="3"/>
  <c r="P137" i="3"/>
  <c r="M88" i="3"/>
  <c r="BK81" i="3"/>
  <c r="BQ81" i="3" s="1"/>
  <c r="B36" i="9"/>
  <c r="BK31" i="9"/>
  <c r="N87" i="3"/>
  <c r="N81" i="3"/>
  <c r="N83" i="3"/>
  <c r="N86" i="3"/>
  <c r="Q55" i="9"/>
  <c r="Q35" i="3"/>
  <c r="Q16" i="3"/>
  <c r="Q17" i="3" s="1"/>
  <c r="Q18" i="3" s="1"/>
  <c r="R11" i="3"/>
  <c r="R13" i="3" s="1"/>
  <c r="R23" i="3" s="1"/>
  <c r="Q64" i="3"/>
  <c r="N84" i="3"/>
  <c r="N85" i="3"/>
  <c r="N82" i="3"/>
  <c r="P32" i="14"/>
  <c r="Q23" i="3"/>
  <c r="Q40" i="3" s="1"/>
  <c r="C74" i="9"/>
  <c r="C78" i="9" s="1"/>
  <c r="C31" i="9"/>
  <c r="C36" i="9" s="1"/>
  <c r="K76" i="9"/>
  <c r="R16" i="14"/>
  <c r="O58" i="3"/>
  <c r="N64" i="9"/>
  <c r="BL15" i="9"/>
  <c r="D86" i="17" s="1"/>
  <c r="BK83" i="3"/>
  <c r="BQ83" i="3" s="1"/>
  <c r="M35" i="14"/>
  <c r="O15" i="9"/>
  <c r="O46" i="9"/>
  <c r="F17" i="14"/>
  <c r="O103" i="3"/>
  <c r="BV22" i="3"/>
  <c r="BK26" i="3"/>
  <c r="Q36" i="3"/>
  <c r="P111" i="3"/>
  <c r="R15" i="14"/>
  <c r="P51" i="9"/>
  <c r="P14" i="9"/>
  <c r="O19" i="3"/>
  <c r="O79" i="3"/>
  <c r="M58" i="3"/>
  <c r="P39" i="3"/>
  <c r="J71" i="17"/>
  <c r="D25" i="9"/>
  <c r="E18" i="14"/>
  <c r="D33" i="9" s="1"/>
  <c r="D75" i="9" s="1"/>
  <c r="R40" i="3" l="1"/>
  <c r="Q24" i="3"/>
  <c r="Q62" i="3"/>
  <c r="Q111" i="3"/>
  <c r="S15" i="14"/>
  <c r="N65" i="9"/>
  <c r="BL65" i="9" s="1"/>
  <c r="D78" i="17" s="1"/>
  <c r="BL64" i="9"/>
  <c r="G17" i="14"/>
  <c r="S15" i="3"/>
  <c r="S34" i="3"/>
  <c r="S23" i="3"/>
  <c r="S40" i="3" s="1"/>
  <c r="T7" i="3"/>
  <c r="T9" i="3" s="1"/>
  <c r="Q36" i="14"/>
  <c r="P33" i="14"/>
  <c r="P36" i="14"/>
  <c r="BK36" i="9"/>
  <c r="B42" i="9"/>
  <c r="P103" i="3"/>
  <c r="R39" i="3"/>
  <c r="P26" i="3"/>
  <c r="O81" i="3"/>
  <c r="O86" i="3"/>
  <c r="O83" i="3"/>
  <c r="O87" i="3"/>
  <c r="O64" i="9"/>
  <c r="O65" i="9" s="1"/>
  <c r="BK88" i="3"/>
  <c r="BQ88" i="3" s="1"/>
  <c r="P19" i="3"/>
  <c r="P79" i="3"/>
  <c r="T14" i="14"/>
  <c r="T13" i="14"/>
  <c r="U11" i="14"/>
  <c r="L76" i="9"/>
  <c r="P15" i="9"/>
  <c r="P46" i="9"/>
  <c r="Q95" i="3"/>
  <c r="Q100" i="3"/>
  <c r="Q99" i="3"/>
  <c r="Q96" i="3"/>
  <c r="Q101" i="3"/>
  <c r="Q93" i="3"/>
  <c r="Q102" i="3"/>
  <c r="Q78" i="3"/>
  <c r="Q94" i="3"/>
  <c r="R6" i="9"/>
  <c r="Q97" i="3"/>
  <c r="Q98" i="3"/>
  <c r="Q137" i="3"/>
  <c r="Q14" i="9"/>
  <c r="Q51" i="9"/>
  <c r="R35" i="3"/>
  <c r="R16" i="3"/>
  <c r="R17" i="3" s="1"/>
  <c r="R18" i="3" s="1"/>
  <c r="S11" i="3"/>
  <c r="S13" i="3" s="1"/>
  <c r="S22" i="3" s="1"/>
  <c r="R64" i="3"/>
  <c r="N88" i="3"/>
  <c r="D74" i="9"/>
  <c r="D78" i="9" s="1"/>
  <c r="D31" i="9"/>
  <c r="D36" i="9" s="1"/>
  <c r="O84" i="3"/>
  <c r="O85" i="3"/>
  <c r="O82" i="3"/>
  <c r="Q32" i="14"/>
  <c r="F50" i="17"/>
  <c r="BV23" i="3"/>
  <c r="D72" i="5" s="1"/>
  <c r="BK58" i="3"/>
  <c r="E25" i="9"/>
  <c r="F18" i="14"/>
  <c r="E33" i="9" s="1"/>
  <c r="E75" i="9" s="1"/>
  <c r="R55" i="9"/>
  <c r="S12" i="14"/>
  <c r="S16" i="14" s="1"/>
  <c r="O34" i="14"/>
  <c r="M38" i="9"/>
  <c r="R36" i="3"/>
  <c r="S39" i="3" l="1"/>
  <c r="R24" i="3"/>
  <c r="R62" i="3"/>
  <c r="D62" i="5"/>
  <c r="D77" i="5"/>
  <c r="D75" i="5"/>
  <c r="D73" i="5"/>
  <c r="D66" i="5"/>
  <c r="D76" i="5" s="1"/>
  <c r="D58" i="5"/>
  <c r="D78" i="5"/>
  <c r="D79" i="5"/>
  <c r="C4" i="17"/>
  <c r="C12" i="17" s="1"/>
  <c r="H17" i="14"/>
  <c r="R95" i="3"/>
  <c r="R100" i="3"/>
  <c r="R99" i="3"/>
  <c r="R96" i="3"/>
  <c r="R101" i="3"/>
  <c r="R93" i="3"/>
  <c r="R102" i="3"/>
  <c r="R78" i="3"/>
  <c r="R94" i="3"/>
  <c r="S6" i="9"/>
  <c r="R97" i="3"/>
  <c r="R98" i="3"/>
  <c r="R137" i="3"/>
  <c r="E74" i="9"/>
  <c r="E78" i="9" s="1"/>
  <c r="E31" i="9"/>
  <c r="E36" i="9" s="1"/>
  <c r="Q19" i="3"/>
  <c r="Q79" i="3"/>
  <c r="P85" i="3"/>
  <c r="P84" i="3"/>
  <c r="P82" i="3"/>
  <c r="R32" i="14"/>
  <c r="P49" i="3"/>
  <c r="P50" i="3"/>
  <c r="P46" i="3"/>
  <c r="P48" i="3"/>
  <c r="P51" i="3"/>
  <c r="P58" i="3"/>
  <c r="N38" i="9"/>
  <c r="P34" i="14"/>
  <c r="O35" i="14"/>
  <c r="Q15" i="9"/>
  <c r="Q46" i="9"/>
  <c r="S55" i="9"/>
  <c r="Q103" i="3"/>
  <c r="P64" i="9"/>
  <c r="P65" i="9" s="1"/>
  <c r="U14" i="14"/>
  <c r="U13" i="14"/>
  <c r="V11" i="14"/>
  <c r="O88" i="3"/>
  <c r="S17" i="3"/>
  <c r="S18" i="3" s="1"/>
  <c r="R111" i="3"/>
  <c r="T15" i="14"/>
  <c r="M76" i="9"/>
  <c r="R36" i="14"/>
  <c r="Q33" i="14"/>
  <c r="S35" i="3"/>
  <c r="S36" i="3" s="1"/>
  <c r="S16" i="3"/>
  <c r="T11" i="3"/>
  <c r="T13" i="3" s="1"/>
  <c r="S64" i="3"/>
  <c r="R14" i="9"/>
  <c r="R51" i="9"/>
  <c r="T12" i="14"/>
  <c r="T16" i="14" s="1"/>
  <c r="U12" i="14" s="1"/>
  <c r="U16" i="14" s="1"/>
  <c r="P83" i="3"/>
  <c r="P123" i="3" s="1"/>
  <c r="P81" i="3"/>
  <c r="P86" i="3"/>
  <c r="P87" i="3"/>
  <c r="BK42" i="9"/>
  <c r="P35" i="14"/>
  <c r="T15" i="3"/>
  <c r="T34" i="3"/>
  <c r="T23" i="3"/>
  <c r="T40" i="3" s="1"/>
  <c r="U7" i="3"/>
  <c r="U9" i="3" s="1"/>
  <c r="F25" i="9"/>
  <c r="G18" i="14"/>
  <c r="F33" i="9" s="1"/>
  <c r="F75" i="9" s="1"/>
  <c r="Q26" i="3"/>
  <c r="S95" i="3" l="1"/>
  <c r="S100" i="3"/>
  <c r="S99" i="3"/>
  <c r="S96" i="3"/>
  <c r="S101" i="3"/>
  <c r="S93" i="3"/>
  <c r="S102" i="3"/>
  <c r="S78" i="3"/>
  <c r="S94" i="3"/>
  <c r="T6" i="9"/>
  <c r="S97" i="3"/>
  <c r="S98" i="3"/>
  <c r="S137" i="3"/>
  <c r="T35" i="3"/>
  <c r="T16" i="3"/>
  <c r="U11" i="3"/>
  <c r="U13" i="3" s="1"/>
  <c r="T64" i="3"/>
  <c r="S111" i="3"/>
  <c r="U15" i="14"/>
  <c r="Q64" i="9"/>
  <c r="Q65" i="9" s="1"/>
  <c r="G25" i="9"/>
  <c r="H18" i="14"/>
  <c r="G33" i="9" s="1"/>
  <c r="G75" i="9" s="1"/>
  <c r="C11" i="17"/>
  <c r="B51" i="3"/>
  <c r="C51" i="3"/>
  <c r="D51" i="3"/>
  <c r="E51" i="3"/>
  <c r="F51" i="3"/>
  <c r="G51" i="3"/>
  <c r="H51" i="3"/>
  <c r="I51" i="3"/>
  <c r="J51" i="3"/>
  <c r="L51" i="3"/>
  <c r="K51" i="3"/>
  <c r="N51" i="3"/>
  <c r="M51" i="3"/>
  <c r="O51" i="3"/>
  <c r="C8" i="17"/>
  <c r="D49" i="3"/>
  <c r="B49" i="3"/>
  <c r="C49" i="3"/>
  <c r="E49" i="3"/>
  <c r="F49" i="3"/>
  <c r="G49" i="3"/>
  <c r="I49" i="3"/>
  <c r="H49" i="3"/>
  <c r="J49" i="3"/>
  <c r="K49" i="3"/>
  <c r="L49" i="3"/>
  <c r="N49" i="3"/>
  <c r="O49" i="3"/>
  <c r="M49" i="3"/>
  <c r="U15" i="3"/>
  <c r="U34" i="3"/>
  <c r="V7" i="3"/>
  <c r="V9" i="3" s="1"/>
  <c r="N76" i="9"/>
  <c r="BL76" i="9" s="1"/>
  <c r="BL38" i="9"/>
  <c r="D93" i="17" s="1"/>
  <c r="R26" i="3"/>
  <c r="S24" i="3"/>
  <c r="S62" i="3"/>
  <c r="T36" i="3"/>
  <c r="P88" i="3"/>
  <c r="R15" i="9"/>
  <c r="R46" i="9"/>
  <c r="I17" i="14"/>
  <c r="R33" i="14"/>
  <c r="Q81" i="3"/>
  <c r="Q83" i="3"/>
  <c r="Q86" i="3"/>
  <c r="Q87" i="3"/>
  <c r="T55" i="9"/>
  <c r="R103" i="3"/>
  <c r="C10" i="17"/>
  <c r="D50" i="3"/>
  <c r="B50" i="3"/>
  <c r="C50" i="3"/>
  <c r="E50" i="3"/>
  <c r="F50" i="3"/>
  <c r="G50" i="3"/>
  <c r="I50" i="3"/>
  <c r="H50" i="3"/>
  <c r="J50" i="3"/>
  <c r="K50" i="3"/>
  <c r="L50" i="3"/>
  <c r="N50" i="3"/>
  <c r="O50" i="3"/>
  <c r="M50" i="3"/>
  <c r="C5" i="17"/>
  <c r="C46" i="3"/>
  <c r="D46" i="3"/>
  <c r="B46" i="3"/>
  <c r="E46" i="3"/>
  <c r="F46" i="3"/>
  <c r="G46" i="3"/>
  <c r="I46" i="3"/>
  <c r="H46" i="3"/>
  <c r="J46" i="3"/>
  <c r="K46" i="3"/>
  <c r="L46" i="3"/>
  <c r="N46" i="3"/>
  <c r="M46" i="3"/>
  <c r="O46" i="3"/>
  <c r="R19" i="3"/>
  <c r="R79" i="3"/>
  <c r="C9" i="17"/>
  <c r="D52" i="3"/>
  <c r="C52" i="3"/>
  <c r="B52" i="3"/>
  <c r="E52" i="3"/>
  <c r="F52" i="3"/>
  <c r="G52" i="3"/>
  <c r="I52" i="3"/>
  <c r="H52" i="3"/>
  <c r="J52" i="3"/>
  <c r="K52" i="3"/>
  <c r="L52" i="3"/>
  <c r="N52" i="3"/>
  <c r="M52" i="3"/>
  <c r="O52" i="3"/>
  <c r="Q35" i="14"/>
  <c r="F74" i="9"/>
  <c r="F78" i="9" s="1"/>
  <c r="F31" i="9"/>
  <c r="F36" i="9" s="1"/>
  <c r="Q49" i="3"/>
  <c r="Q50" i="3"/>
  <c r="Q46" i="3"/>
  <c r="Q52" i="3"/>
  <c r="Q48" i="3"/>
  <c r="Q51" i="3"/>
  <c r="Q58" i="3"/>
  <c r="T22" i="3"/>
  <c r="T17" i="3"/>
  <c r="T18" i="3" s="1"/>
  <c r="V14" i="14"/>
  <c r="V13" i="14"/>
  <c r="V12" i="14"/>
  <c r="W11" i="14"/>
  <c r="O38" i="9"/>
  <c r="Q34" i="14"/>
  <c r="P52" i="3"/>
  <c r="Q85" i="3"/>
  <c r="Q84" i="3"/>
  <c r="Q82" i="3"/>
  <c r="S32" i="14"/>
  <c r="S14" i="9"/>
  <c r="S51" i="9"/>
  <c r="D74" i="5"/>
  <c r="C7" i="17"/>
  <c r="C48" i="3"/>
  <c r="C123" i="3" s="1"/>
  <c r="D48" i="3"/>
  <c r="D123" i="3" s="1"/>
  <c r="B48" i="3"/>
  <c r="E48" i="3"/>
  <c r="E123" i="3" s="1"/>
  <c r="G48" i="3"/>
  <c r="G123" i="3" s="1"/>
  <c r="F48" i="3"/>
  <c r="F123" i="3" s="1"/>
  <c r="I48" i="3"/>
  <c r="I123" i="3" s="1"/>
  <c r="H48" i="3"/>
  <c r="H123" i="3" s="1"/>
  <c r="J48" i="3"/>
  <c r="J123" i="3" s="1"/>
  <c r="K48" i="3"/>
  <c r="K123" i="3" s="1"/>
  <c r="L48" i="3"/>
  <c r="L123" i="3" s="1"/>
  <c r="N48" i="3"/>
  <c r="O48" i="3"/>
  <c r="O123" i="3" s="1"/>
  <c r="M48" i="3"/>
  <c r="M123" i="3" s="1"/>
  <c r="T14" i="9" l="1"/>
  <c r="T51" i="9"/>
  <c r="N123" i="3"/>
  <c r="T24" i="3"/>
  <c r="T62" i="3"/>
  <c r="U35" i="3"/>
  <c r="U36" i="3" s="1"/>
  <c r="U16" i="3"/>
  <c r="U17" i="3" s="1"/>
  <c r="U18" i="3" s="1"/>
  <c r="U64" i="3"/>
  <c r="V11" i="3"/>
  <c r="V13" i="3" s="1"/>
  <c r="S19" i="3"/>
  <c r="S79" i="3"/>
  <c r="BK48" i="3"/>
  <c r="BQ48" i="3" s="1"/>
  <c r="B123" i="3"/>
  <c r="B7" i="9" s="1"/>
  <c r="C6" i="17"/>
  <c r="C47" i="3"/>
  <c r="C53" i="3" s="1"/>
  <c r="B47" i="3"/>
  <c r="D47" i="3"/>
  <c r="E47" i="3"/>
  <c r="G47" i="3"/>
  <c r="G53" i="3" s="1"/>
  <c r="F47" i="3"/>
  <c r="F53" i="3" s="1"/>
  <c r="H47" i="3"/>
  <c r="I47" i="3"/>
  <c r="J47" i="3"/>
  <c r="J53" i="3" s="1"/>
  <c r="K47" i="3"/>
  <c r="L47" i="3"/>
  <c r="N47" i="3"/>
  <c r="O47" i="3"/>
  <c r="O53" i="3" s="1"/>
  <c r="M47" i="3"/>
  <c r="P47" i="3"/>
  <c r="P53" i="3" s="1"/>
  <c r="D80" i="5"/>
  <c r="S15" i="9"/>
  <c r="S46" i="9"/>
  <c r="P38" i="9"/>
  <c r="R34" i="14"/>
  <c r="V16" i="14"/>
  <c r="T26" i="3"/>
  <c r="T39" i="3"/>
  <c r="BK52" i="3"/>
  <c r="BQ52" i="3" s="1"/>
  <c r="N53" i="3"/>
  <c r="H53" i="3"/>
  <c r="E53" i="3"/>
  <c r="Q123" i="3"/>
  <c r="U22" i="3"/>
  <c r="G74" i="9"/>
  <c r="G78" i="9" s="1"/>
  <c r="G31" i="9"/>
  <c r="G36" i="9" s="1"/>
  <c r="T36" i="14"/>
  <c r="S33" i="14"/>
  <c r="J17" i="14"/>
  <c r="R85" i="3"/>
  <c r="R84" i="3"/>
  <c r="R82" i="3"/>
  <c r="T32" i="14"/>
  <c r="K53" i="3"/>
  <c r="D53" i="3"/>
  <c r="R35" i="14"/>
  <c r="H25" i="9"/>
  <c r="I18" i="14"/>
  <c r="H33" i="9" s="1"/>
  <c r="H75" i="9" s="1"/>
  <c r="R64" i="9"/>
  <c r="R65" i="9" s="1"/>
  <c r="T95" i="3"/>
  <c r="T100" i="3"/>
  <c r="T99" i="3"/>
  <c r="T96" i="3"/>
  <c r="T101" i="3"/>
  <c r="T93" i="3"/>
  <c r="T102" i="3"/>
  <c r="T78" i="3"/>
  <c r="T94" i="3"/>
  <c r="U6" i="9"/>
  <c r="T97" i="3"/>
  <c r="T98" i="3"/>
  <c r="T58" i="3"/>
  <c r="T137" i="3"/>
  <c r="R49" i="3"/>
  <c r="R50" i="3"/>
  <c r="R46" i="3"/>
  <c r="R47" i="3"/>
  <c r="R52" i="3"/>
  <c r="R48" i="3"/>
  <c r="R51" i="3"/>
  <c r="R58" i="3"/>
  <c r="V22" i="3"/>
  <c r="W7" i="3"/>
  <c r="W9" i="3" s="1"/>
  <c r="V23" i="3"/>
  <c r="V40" i="3" s="1"/>
  <c r="V15" i="3"/>
  <c r="V34" i="3"/>
  <c r="W14" i="14"/>
  <c r="W13" i="14"/>
  <c r="W12" i="14"/>
  <c r="W16" i="14" s="1"/>
  <c r="X11" i="14"/>
  <c r="M53" i="3"/>
  <c r="S36" i="14"/>
  <c r="O76" i="9"/>
  <c r="T111" i="3"/>
  <c r="V15" i="14"/>
  <c r="Q47" i="3"/>
  <c r="Q53" i="3" s="1"/>
  <c r="R81" i="3"/>
  <c r="R83" i="3"/>
  <c r="R86" i="3"/>
  <c r="R87" i="3"/>
  <c r="L53" i="3"/>
  <c r="I53" i="3"/>
  <c r="B53" i="3"/>
  <c r="BK46" i="3"/>
  <c r="BQ46" i="3" s="1"/>
  <c r="BK50" i="3"/>
  <c r="BQ50" i="3" s="1"/>
  <c r="Q88" i="3"/>
  <c r="S41" i="3"/>
  <c r="S26" i="3"/>
  <c r="U23" i="3"/>
  <c r="U40" i="3" s="1"/>
  <c r="BK49" i="3"/>
  <c r="BQ49" i="3" s="1"/>
  <c r="BK51" i="3"/>
  <c r="BQ51" i="3" s="1"/>
  <c r="U55" i="9"/>
  <c r="S103" i="3"/>
  <c r="U24" i="3" l="1"/>
  <c r="U41" i="3" s="1"/>
  <c r="U62" i="3"/>
  <c r="U65" i="3" s="1"/>
  <c r="U99" i="3"/>
  <c r="U93" i="3"/>
  <c r="U97" i="3"/>
  <c r="U102" i="3"/>
  <c r="U78" i="3"/>
  <c r="U94" i="3"/>
  <c r="U98" i="3"/>
  <c r="U96" i="3"/>
  <c r="V6" i="9"/>
  <c r="U100" i="3"/>
  <c r="U95" i="3"/>
  <c r="U137" i="3"/>
  <c r="U101" i="3"/>
  <c r="R88" i="3"/>
  <c r="V39" i="3"/>
  <c r="T19" i="3"/>
  <c r="T79" i="3"/>
  <c r="U39" i="3"/>
  <c r="U26" i="3"/>
  <c r="S81" i="3"/>
  <c r="S88" i="3" s="1"/>
  <c r="S83" i="3"/>
  <c r="S86" i="3"/>
  <c r="S87" i="3"/>
  <c r="U111" i="3"/>
  <c r="W15" i="14"/>
  <c r="V17" i="3"/>
  <c r="V18" i="3" s="1"/>
  <c r="I25" i="9"/>
  <c r="J18" i="14"/>
  <c r="I33" i="9" s="1"/>
  <c r="I75" i="9" s="1"/>
  <c r="S34" i="14"/>
  <c r="Q38" i="9"/>
  <c r="B63" i="3"/>
  <c r="F63" i="3"/>
  <c r="F65" i="3" s="1"/>
  <c r="F105" i="3" s="1"/>
  <c r="H63" i="3"/>
  <c r="H65" i="3" s="1"/>
  <c r="H105" i="3" s="1"/>
  <c r="E63" i="3"/>
  <c r="E65" i="3" s="1"/>
  <c r="E105" i="3" s="1"/>
  <c r="D63" i="3"/>
  <c r="D65" i="3" s="1"/>
  <c r="D105" i="3" s="1"/>
  <c r="G63" i="3"/>
  <c r="G65" i="3" s="1"/>
  <c r="G105" i="3" s="1"/>
  <c r="J63" i="3"/>
  <c r="J65" i="3" s="1"/>
  <c r="J105" i="3" s="1"/>
  <c r="L63" i="3"/>
  <c r="L65" i="3" s="1"/>
  <c r="L105" i="3" s="1"/>
  <c r="I63" i="3"/>
  <c r="I65" i="3" s="1"/>
  <c r="I105" i="3" s="1"/>
  <c r="K63" i="3"/>
  <c r="K65" i="3" s="1"/>
  <c r="K105" i="3" s="1"/>
  <c r="M63" i="3"/>
  <c r="M65" i="3" s="1"/>
  <c r="M105" i="3" s="1"/>
  <c r="P63" i="3"/>
  <c r="P65" i="3" s="1"/>
  <c r="P105" i="3" s="1"/>
  <c r="Q63" i="3"/>
  <c r="Q65" i="3" s="1"/>
  <c r="R63" i="3"/>
  <c r="R65" i="3" s="1"/>
  <c r="S63" i="3"/>
  <c r="S65" i="3" s="1"/>
  <c r="T63" i="3"/>
  <c r="C63" i="3"/>
  <c r="C65" i="3" s="1"/>
  <c r="C105" i="3" s="1"/>
  <c r="N63" i="3"/>
  <c r="O63" i="3"/>
  <c r="O65" i="3" s="1"/>
  <c r="O105" i="3" s="1"/>
  <c r="U63" i="3"/>
  <c r="Y63" i="3"/>
  <c r="AC63" i="3"/>
  <c r="V63" i="3"/>
  <c r="Z63" i="3"/>
  <c r="AD63" i="3"/>
  <c r="AG63" i="3"/>
  <c r="AH63" i="3"/>
  <c r="AI63" i="3"/>
  <c r="AJ63" i="3"/>
  <c r="AK63" i="3"/>
  <c r="AL63" i="3"/>
  <c r="AM63" i="3"/>
  <c r="W63" i="3"/>
  <c r="AA63" i="3"/>
  <c r="AE63" i="3"/>
  <c r="AN63" i="3"/>
  <c r="AO63" i="3"/>
  <c r="AP63" i="3"/>
  <c r="AQ63" i="3"/>
  <c r="AR63" i="3"/>
  <c r="AS63" i="3"/>
  <c r="AT63" i="3"/>
  <c r="AU63" i="3"/>
  <c r="AV63" i="3"/>
  <c r="AW63" i="3"/>
  <c r="AX63" i="3"/>
  <c r="BB63" i="3"/>
  <c r="BF63" i="3"/>
  <c r="X63" i="3"/>
  <c r="AB63" i="3"/>
  <c r="AF63" i="3"/>
  <c r="BA63" i="3"/>
  <c r="BE63" i="3"/>
  <c r="BI63" i="3"/>
  <c r="C13" i="17"/>
  <c r="AZ63" i="3"/>
  <c r="BD63" i="3"/>
  <c r="BH63" i="3"/>
  <c r="AY63" i="3"/>
  <c r="BC63" i="3"/>
  <c r="BG63" i="3"/>
  <c r="C41" i="3"/>
  <c r="B41" i="3"/>
  <c r="D41" i="3"/>
  <c r="E41" i="3"/>
  <c r="F41" i="3"/>
  <c r="G41" i="3"/>
  <c r="H41" i="3"/>
  <c r="I41" i="3"/>
  <c r="J41" i="3"/>
  <c r="K41" i="3"/>
  <c r="L41" i="3"/>
  <c r="N41" i="3"/>
  <c r="M41" i="3"/>
  <c r="O41" i="3"/>
  <c r="P41" i="3"/>
  <c r="Q41" i="3"/>
  <c r="R41" i="3"/>
  <c r="S85" i="3"/>
  <c r="S84" i="3"/>
  <c r="S82" i="3"/>
  <c r="U32" i="14"/>
  <c r="U36" i="14" s="1"/>
  <c r="BK53" i="3"/>
  <c r="V55" i="9"/>
  <c r="T103" i="3"/>
  <c r="T33" i="14"/>
  <c r="P76" i="9"/>
  <c r="C7" i="9"/>
  <c r="BK7" i="9"/>
  <c r="B5" i="9"/>
  <c r="V64" i="3"/>
  <c r="W11" i="3"/>
  <c r="W13" i="3" s="1"/>
  <c r="V16" i="3"/>
  <c r="V35" i="3"/>
  <c r="T65" i="3"/>
  <c r="V36" i="3"/>
  <c r="H74" i="9"/>
  <c r="H78" i="9" s="1"/>
  <c r="H31" i="9"/>
  <c r="H36" i="9" s="1"/>
  <c r="S64" i="9"/>
  <c r="S65" i="9" s="1"/>
  <c r="S49" i="3"/>
  <c r="S50" i="3"/>
  <c r="S46" i="3"/>
  <c r="S47" i="3"/>
  <c r="S52" i="3"/>
  <c r="S48" i="3"/>
  <c r="S51" i="3"/>
  <c r="S58" i="3"/>
  <c r="Q105" i="3"/>
  <c r="K17" i="14"/>
  <c r="S42" i="3"/>
  <c r="S43" i="3" s="1"/>
  <c r="R123" i="3"/>
  <c r="X14" i="14"/>
  <c r="X13" i="14"/>
  <c r="X12" i="14"/>
  <c r="Y11" i="14"/>
  <c r="W22" i="3"/>
  <c r="X7" i="3"/>
  <c r="X9" i="3" s="1"/>
  <c r="W23" i="3"/>
  <c r="W40" i="3" s="1"/>
  <c r="W34" i="3"/>
  <c r="W15" i="3"/>
  <c r="R53" i="3"/>
  <c r="U14" i="9"/>
  <c r="U51" i="9"/>
  <c r="T49" i="3"/>
  <c r="T50" i="3"/>
  <c r="T46" i="3"/>
  <c r="T47" i="3"/>
  <c r="T52" i="3"/>
  <c r="T48" i="3"/>
  <c r="T51" i="3"/>
  <c r="BK47" i="3"/>
  <c r="BQ47" i="3" s="1"/>
  <c r="T41" i="3"/>
  <c r="T42" i="3" s="1"/>
  <c r="T15" i="9"/>
  <c r="T46" i="9"/>
  <c r="D7" i="9" l="1"/>
  <c r="D56" i="9"/>
  <c r="D59" i="9" s="1"/>
  <c r="K42" i="3"/>
  <c r="K43" i="3" s="1"/>
  <c r="BK41" i="3"/>
  <c r="BQ41" i="3" s="1"/>
  <c r="B43" i="3"/>
  <c r="B42" i="3"/>
  <c r="T34" i="14"/>
  <c r="R38" i="9"/>
  <c r="V62" i="3"/>
  <c r="V65" i="3" s="1"/>
  <c r="V24" i="3"/>
  <c r="U15" i="9"/>
  <c r="U46" i="9"/>
  <c r="X16" i="14"/>
  <c r="J25" i="9"/>
  <c r="K18" i="14"/>
  <c r="J33" i="9" s="1"/>
  <c r="J75" i="9" s="1"/>
  <c r="V93" i="3"/>
  <c r="V97" i="3"/>
  <c r="V102" i="3"/>
  <c r="W6" i="9"/>
  <c r="V78" i="3"/>
  <c r="V94" i="3"/>
  <c r="V98" i="3"/>
  <c r="V99" i="3"/>
  <c r="V95" i="3"/>
  <c r="V96" i="3"/>
  <c r="V100" i="3"/>
  <c r="V101" i="3"/>
  <c r="V137" i="3"/>
  <c r="C82" i="9"/>
  <c r="BK5" i="9"/>
  <c r="C33" i="17" s="1"/>
  <c r="B9" i="9"/>
  <c r="T43" i="3"/>
  <c r="R42" i="3"/>
  <c r="R43" i="3"/>
  <c r="M42" i="3"/>
  <c r="M43" i="3" s="1"/>
  <c r="J42" i="3"/>
  <c r="J43" i="3" s="1"/>
  <c r="F42" i="3"/>
  <c r="F43" i="3" s="1"/>
  <c r="C42" i="3"/>
  <c r="C43" i="3"/>
  <c r="BO63" i="3"/>
  <c r="BL63" i="3"/>
  <c r="N65" i="3"/>
  <c r="T81" i="3"/>
  <c r="T83" i="3"/>
  <c r="T123" i="3" s="1"/>
  <c r="T86" i="3"/>
  <c r="T87" i="3"/>
  <c r="V14" i="9"/>
  <c r="V51" i="9"/>
  <c r="U103" i="3"/>
  <c r="Y14" i="14"/>
  <c r="Y13" i="14"/>
  <c r="Y12" i="14"/>
  <c r="Y16" i="14" s="1"/>
  <c r="Z11" i="14"/>
  <c r="U33" i="14"/>
  <c r="R131" i="3"/>
  <c r="Y7" i="3"/>
  <c r="Y9" i="3" s="1"/>
  <c r="X34" i="3"/>
  <c r="X15" i="3"/>
  <c r="S53" i="3"/>
  <c r="S131" i="3" s="1"/>
  <c r="S105" i="3"/>
  <c r="Q42" i="3"/>
  <c r="Q43" i="3" s="1"/>
  <c r="N43" i="3"/>
  <c r="N42" i="3"/>
  <c r="I42" i="3"/>
  <c r="I43" i="3"/>
  <c r="E43" i="3"/>
  <c r="E42" i="3"/>
  <c r="BK63" i="3"/>
  <c r="BQ63" i="3" s="1"/>
  <c r="B65" i="3"/>
  <c r="U48" i="3"/>
  <c r="U46" i="3"/>
  <c r="U51" i="3"/>
  <c r="U47" i="3"/>
  <c r="U52" i="3"/>
  <c r="U50" i="3"/>
  <c r="U49" i="3"/>
  <c r="T85" i="3"/>
  <c r="T84" i="3"/>
  <c r="T82" i="3"/>
  <c r="V32" i="14"/>
  <c r="R105" i="3"/>
  <c r="W55" i="9"/>
  <c r="U19" i="3"/>
  <c r="U79" i="3"/>
  <c r="T35" i="14"/>
  <c r="O42" i="3"/>
  <c r="O43" i="3"/>
  <c r="G42" i="3"/>
  <c r="G43" i="3"/>
  <c r="BN63" i="3"/>
  <c r="T64" i="9"/>
  <c r="T65" i="9" s="1"/>
  <c r="T53" i="3"/>
  <c r="T131" i="3" s="1"/>
  <c r="S35" i="14"/>
  <c r="V111" i="3"/>
  <c r="X15" i="14"/>
  <c r="W39" i="3"/>
  <c r="L17" i="14"/>
  <c r="W64" i="3"/>
  <c r="X11" i="3"/>
  <c r="X13" i="3" s="1"/>
  <c r="X23" i="3" s="1"/>
  <c r="X40" i="3" s="1"/>
  <c r="W35" i="3"/>
  <c r="W36" i="3" s="1"/>
  <c r="W16" i="3"/>
  <c r="W17" i="3" s="1"/>
  <c r="W18" i="3" s="1"/>
  <c r="C56" i="9"/>
  <c r="C59" i="9" s="1"/>
  <c r="D61" i="17"/>
  <c r="J61" i="17" s="1"/>
  <c r="BQ53" i="3"/>
  <c r="P42" i="3"/>
  <c r="P43" i="3" s="1"/>
  <c r="L42" i="3"/>
  <c r="L43" i="3" s="1"/>
  <c r="H42" i="3"/>
  <c r="H43" i="3" s="1"/>
  <c r="D42" i="3"/>
  <c r="D43" i="3" s="1"/>
  <c r="BM63" i="3"/>
  <c r="Q76" i="9"/>
  <c r="I74" i="9"/>
  <c r="I78" i="9" s="1"/>
  <c r="I31" i="9"/>
  <c r="I36" i="9" s="1"/>
  <c r="S123" i="3"/>
  <c r="U42" i="3"/>
  <c r="U43" i="3" s="1"/>
  <c r="U58" i="3"/>
  <c r="D55" i="3" l="1"/>
  <c r="D138" i="3" s="1"/>
  <c r="D57" i="3"/>
  <c r="D131" i="3"/>
  <c r="M55" i="3"/>
  <c r="M138" i="3" s="1"/>
  <c r="M57" i="3"/>
  <c r="M131" i="3"/>
  <c r="W93" i="3"/>
  <c r="W97" i="3"/>
  <c r="W102" i="3"/>
  <c r="X6" i="9"/>
  <c r="W78" i="3"/>
  <c r="W94" i="3"/>
  <c r="W98" i="3"/>
  <c r="W101" i="3"/>
  <c r="W99" i="3"/>
  <c r="W95" i="3"/>
  <c r="W96" i="3"/>
  <c r="W100" i="3"/>
  <c r="W137" i="3"/>
  <c r="J55" i="3"/>
  <c r="J138" i="3" s="1"/>
  <c r="J57" i="3"/>
  <c r="J131" i="3"/>
  <c r="H55" i="3"/>
  <c r="H138" i="3" s="1"/>
  <c r="H57" i="3"/>
  <c r="H131" i="3"/>
  <c r="K55" i="3"/>
  <c r="K138" i="3" s="1"/>
  <c r="K57" i="3"/>
  <c r="K131" i="3"/>
  <c r="U55" i="3"/>
  <c r="U57" i="3"/>
  <c r="L55" i="3"/>
  <c r="L138" i="3" s="1"/>
  <c r="L57" i="3"/>
  <c r="L131" i="3"/>
  <c r="P55" i="3"/>
  <c r="P138" i="3" s="1"/>
  <c r="P57" i="3"/>
  <c r="P131" i="3"/>
  <c r="W62" i="3"/>
  <c r="W65" i="3" s="1"/>
  <c r="W24" i="3"/>
  <c r="Q55" i="3"/>
  <c r="Q138" i="3" s="1"/>
  <c r="Q57" i="3"/>
  <c r="Q131" i="3"/>
  <c r="F55" i="3"/>
  <c r="F138" i="3" s="1"/>
  <c r="F57" i="3"/>
  <c r="F131" i="3"/>
  <c r="U53" i="3"/>
  <c r="E55" i="3"/>
  <c r="E138" i="3" s="1"/>
  <c r="E57" i="3"/>
  <c r="E131" i="3"/>
  <c r="N55" i="3"/>
  <c r="N57" i="3"/>
  <c r="N131" i="3"/>
  <c r="Z14" i="14"/>
  <c r="Z13" i="14"/>
  <c r="Z12" i="14"/>
  <c r="Z16" i="14" s="1"/>
  <c r="AA11" i="14"/>
  <c r="V19" i="3"/>
  <c r="V79" i="3"/>
  <c r="V103" i="3"/>
  <c r="U34" i="14"/>
  <c r="S38" i="9"/>
  <c r="B57" i="3"/>
  <c r="B55" i="3"/>
  <c r="BK43" i="3"/>
  <c r="B131" i="3"/>
  <c r="U84" i="3"/>
  <c r="U85" i="3"/>
  <c r="U82" i="3"/>
  <c r="W32" i="14"/>
  <c r="T55" i="3"/>
  <c r="T57" i="3"/>
  <c r="X55" i="9"/>
  <c r="U64" i="9"/>
  <c r="U65" i="9" s="1"/>
  <c r="V41" i="3"/>
  <c r="V26" i="3"/>
  <c r="G55" i="3"/>
  <c r="G138" i="3" s="1"/>
  <c r="G57" i="3"/>
  <c r="G131" i="3"/>
  <c r="X64" i="3"/>
  <c r="Y11" i="3"/>
  <c r="Y13" i="3" s="1"/>
  <c r="X35" i="3"/>
  <c r="X36" i="3" s="1"/>
  <c r="X16" i="3"/>
  <c r="K25" i="9"/>
  <c r="L18" i="14"/>
  <c r="K33" i="9" s="1"/>
  <c r="K75" i="9" s="1"/>
  <c r="O55" i="3"/>
  <c r="O138" i="3" s="1"/>
  <c r="O57" i="3"/>
  <c r="O131" i="3"/>
  <c r="BK65" i="3"/>
  <c r="B105" i="3"/>
  <c r="Z7" i="3"/>
  <c r="Z9" i="3" s="1"/>
  <c r="Y23" i="3"/>
  <c r="Y15" i="3"/>
  <c r="Y34" i="3"/>
  <c r="BL9" i="3"/>
  <c r="G46" i="17" s="1"/>
  <c r="U35" i="14"/>
  <c r="W111" i="3"/>
  <c r="Y15" i="14"/>
  <c r="V15" i="9"/>
  <c r="V46" i="9"/>
  <c r="C55" i="3"/>
  <c r="C138" i="3" s="1"/>
  <c r="C57" i="3"/>
  <c r="C131" i="3"/>
  <c r="R55" i="3"/>
  <c r="R138" i="3" s="1"/>
  <c r="R57" i="3"/>
  <c r="BK9" i="9"/>
  <c r="B22" i="9"/>
  <c r="W14" i="9"/>
  <c r="W51" i="9"/>
  <c r="J74" i="9"/>
  <c r="J78" i="9" s="1"/>
  <c r="J31" i="9"/>
  <c r="J36" i="9" s="1"/>
  <c r="E7" i="9"/>
  <c r="E56" i="9"/>
  <c r="E59" i="9" s="1"/>
  <c r="S57" i="3"/>
  <c r="I55" i="3"/>
  <c r="I138" i="3" s="1"/>
  <c r="I57" i="3"/>
  <c r="I131" i="3"/>
  <c r="U83" i="3"/>
  <c r="U123" i="3" s="1"/>
  <c r="U87" i="3"/>
  <c r="U81" i="3"/>
  <c r="U86" i="3"/>
  <c r="V33" i="14"/>
  <c r="X17" i="3"/>
  <c r="X18" i="3" s="1"/>
  <c r="X22" i="3"/>
  <c r="V36" i="14"/>
  <c r="M17" i="14"/>
  <c r="T88" i="3"/>
  <c r="T105" i="3" s="1"/>
  <c r="N105" i="3"/>
  <c r="R76" i="9"/>
  <c r="BK42" i="3"/>
  <c r="BQ42" i="3" s="1"/>
  <c r="S55" i="3"/>
  <c r="S138" i="3" s="1"/>
  <c r="X93" i="3" l="1"/>
  <c r="X97" i="3"/>
  <c r="X102" i="3"/>
  <c r="Y6" i="9"/>
  <c r="X78" i="3"/>
  <c r="X94" i="3"/>
  <c r="X98" i="3"/>
  <c r="X100" i="3"/>
  <c r="X101" i="3"/>
  <c r="X99" i="3"/>
  <c r="X95" i="3"/>
  <c r="X96" i="3"/>
  <c r="X137" i="3"/>
  <c r="N138" i="3"/>
  <c r="Y40" i="3"/>
  <c r="BL40" i="3" s="1"/>
  <c r="BL23" i="3"/>
  <c r="Y64" i="3"/>
  <c r="BL64" i="3" s="1"/>
  <c r="Z11" i="3"/>
  <c r="Z13" i="3" s="1"/>
  <c r="Y16" i="3"/>
  <c r="Y35" i="3"/>
  <c r="BL35" i="3" s="1"/>
  <c r="BL13" i="3"/>
  <c r="G47" i="17" s="1"/>
  <c r="S76" i="9"/>
  <c r="Q107" i="3"/>
  <c r="Q112" i="3" s="1"/>
  <c r="Q130" i="3"/>
  <c r="BK22" i="9"/>
  <c r="B44" i="9"/>
  <c r="BK44" i="9" s="1"/>
  <c r="Z22" i="3"/>
  <c r="AA7" i="3"/>
  <c r="AA9" i="3" s="1"/>
  <c r="Z23" i="3"/>
  <c r="Z15" i="3"/>
  <c r="Z34" i="3"/>
  <c r="V42" i="3"/>
  <c r="V43" i="3"/>
  <c r="BQ43" i="3"/>
  <c r="D60" i="17"/>
  <c r="J60" i="17" s="1"/>
  <c r="V34" i="14"/>
  <c r="T38" i="9"/>
  <c r="X111" i="3"/>
  <c r="Z15" i="14"/>
  <c r="N107" i="3"/>
  <c r="N130" i="3"/>
  <c r="E107" i="3"/>
  <c r="E112" i="3" s="1"/>
  <c r="E130" i="3"/>
  <c r="F107" i="3"/>
  <c r="F112" i="3" s="1"/>
  <c r="F130" i="3"/>
  <c r="J107" i="3"/>
  <c r="J112" i="3" s="1"/>
  <c r="J130" i="3"/>
  <c r="X14" i="9"/>
  <c r="X51" i="9"/>
  <c r="W79" i="3"/>
  <c r="W19" i="3"/>
  <c r="W103" i="3"/>
  <c r="X24" i="3"/>
  <c r="X41" i="3" s="1"/>
  <c r="X62" i="3"/>
  <c r="X65" i="3" s="1"/>
  <c r="W15" i="9"/>
  <c r="W46" i="9"/>
  <c r="BQ65" i="3"/>
  <c r="D67" i="17"/>
  <c r="X36" i="14"/>
  <c r="W33" i="14"/>
  <c r="V84" i="3"/>
  <c r="V85" i="3"/>
  <c r="V82" i="3"/>
  <c r="X32" i="14"/>
  <c r="T138" i="3"/>
  <c r="V35" i="14"/>
  <c r="C107" i="3"/>
  <c r="C112" i="3" s="1"/>
  <c r="C130" i="3"/>
  <c r="Y36" i="3"/>
  <c r="BL34" i="3"/>
  <c r="Y22" i="3"/>
  <c r="B59" i="3"/>
  <c r="BK55" i="3"/>
  <c r="B88" i="9"/>
  <c r="BK88" i="9" s="1"/>
  <c r="C34" i="17" s="1"/>
  <c r="N17" i="14"/>
  <c r="P107" i="3"/>
  <c r="P112" i="3" s="1"/>
  <c r="P130" i="3"/>
  <c r="L107" i="3"/>
  <c r="L112" i="3" s="1"/>
  <c r="L130" i="3"/>
  <c r="H107" i="3"/>
  <c r="H112" i="3" s="1"/>
  <c r="H130" i="3"/>
  <c r="D107" i="3"/>
  <c r="D112" i="3" s="1"/>
  <c r="D130" i="3"/>
  <c r="L25" i="9"/>
  <c r="M18" i="14"/>
  <c r="L33" i="9" s="1"/>
  <c r="L75" i="9" s="1"/>
  <c r="O107" i="3"/>
  <c r="O112" i="3" s="1"/>
  <c r="O130" i="3"/>
  <c r="V48" i="3"/>
  <c r="V46" i="3"/>
  <c r="V51" i="3"/>
  <c r="V47" i="3"/>
  <c r="V52" i="3"/>
  <c r="V49" i="3"/>
  <c r="V50" i="3"/>
  <c r="V58" i="3"/>
  <c r="U130" i="3"/>
  <c r="U88" i="3"/>
  <c r="U105" i="3" s="1"/>
  <c r="U138" i="3" s="1"/>
  <c r="S107" i="3"/>
  <c r="S112" i="3" s="1"/>
  <c r="S130" i="3"/>
  <c r="V64" i="9"/>
  <c r="V65" i="9" s="1"/>
  <c r="X26" i="3"/>
  <c r="X39" i="3"/>
  <c r="W36" i="14"/>
  <c r="I107" i="3"/>
  <c r="I112" i="3" s="1"/>
  <c r="I130" i="3"/>
  <c r="F7" i="9"/>
  <c r="F56" i="9"/>
  <c r="F59" i="9" s="1"/>
  <c r="R107" i="3"/>
  <c r="R112" i="3" s="1"/>
  <c r="R130" i="3"/>
  <c r="Y17" i="3"/>
  <c r="B138" i="3"/>
  <c r="BK105" i="3"/>
  <c r="BQ105" i="3" s="1"/>
  <c r="K74" i="9"/>
  <c r="K78" i="9" s="1"/>
  <c r="K31" i="9"/>
  <c r="K36" i="9" s="1"/>
  <c r="G107" i="3"/>
  <c r="G112" i="3" s="1"/>
  <c r="G130" i="3"/>
  <c r="T107" i="3"/>
  <c r="T112" i="3" s="1"/>
  <c r="T130" i="3"/>
  <c r="B107" i="3"/>
  <c r="BK57" i="3"/>
  <c r="B130" i="3"/>
  <c r="V87" i="3"/>
  <c r="V81" i="3"/>
  <c r="V88" i="3" s="1"/>
  <c r="V105" i="3" s="1"/>
  <c r="V86" i="3"/>
  <c r="V83" i="3"/>
  <c r="V123" i="3" s="1"/>
  <c r="AA14" i="14"/>
  <c r="AA13" i="14"/>
  <c r="AA12" i="14"/>
  <c r="AB11" i="14"/>
  <c r="U131" i="3"/>
  <c r="W41" i="3"/>
  <c r="W26" i="3"/>
  <c r="K107" i="3"/>
  <c r="K112" i="3" s="1"/>
  <c r="K130" i="3"/>
  <c r="M107" i="3"/>
  <c r="M112" i="3" s="1"/>
  <c r="M130" i="3"/>
  <c r="N112" i="3" l="1"/>
  <c r="W34" i="14"/>
  <c r="U38" i="9"/>
  <c r="Z40" i="3"/>
  <c r="Y111" i="3"/>
  <c r="BL111" i="3" s="1"/>
  <c r="AA15" i="14"/>
  <c r="P113" i="3"/>
  <c r="P114" i="3" s="1"/>
  <c r="BQ55" i="3"/>
  <c r="D62" i="17"/>
  <c r="J62" i="17" s="1"/>
  <c r="W64" i="9"/>
  <c r="W65" i="9" s="1"/>
  <c r="X15" i="9"/>
  <c r="X46" i="9"/>
  <c r="W48" i="3"/>
  <c r="W46" i="3"/>
  <c r="W51" i="3"/>
  <c r="W47" i="3"/>
  <c r="W52" i="3"/>
  <c r="W49" i="3"/>
  <c r="W50" i="3"/>
  <c r="W58" i="3"/>
  <c r="Y18" i="3"/>
  <c r="BL17" i="3"/>
  <c r="X42" i="3"/>
  <c r="X43" i="3"/>
  <c r="O113" i="3"/>
  <c r="O114" i="3" s="1"/>
  <c r="W84" i="3"/>
  <c r="W85" i="3"/>
  <c r="W82" i="3"/>
  <c r="Y32" i="14"/>
  <c r="M113" i="3"/>
  <c r="M114" i="3" s="1"/>
  <c r="W42" i="3"/>
  <c r="W43" i="3" s="1"/>
  <c r="AB14" i="14"/>
  <c r="AB13" i="14"/>
  <c r="AC11" i="14"/>
  <c r="T113" i="3"/>
  <c r="T114" i="3" s="1"/>
  <c r="X48" i="3"/>
  <c r="X46" i="3"/>
  <c r="X51" i="3"/>
  <c r="X47" i="3"/>
  <c r="X52" i="3"/>
  <c r="X49" i="3"/>
  <c r="X50" i="3"/>
  <c r="S113" i="3"/>
  <c r="S114" i="3" s="1"/>
  <c r="U107" i="3"/>
  <c r="U112" i="3" s="1"/>
  <c r="V53" i="3"/>
  <c r="V55" i="3" s="1"/>
  <c r="Y55" i="9"/>
  <c r="L113" i="3"/>
  <c r="L114" i="3" s="1"/>
  <c r="Y39" i="3"/>
  <c r="BL22" i="3"/>
  <c r="C113" i="3"/>
  <c r="C114" i="3"/>
  <c r="W87" i="3"/>
  <c r="W83" i="3"/>
  <c r="W123" i="3" s="1"/>
  <c r="W86" i="3"/>
  <c r="W81" i="3"/>
  <c r="W88" i="3" s="1"/>
  <c r="W105" i="3" s="1"/>
  <c r="J113" i="3"/>
  <c r="J114" i="3" s="1"/>
  <c r="E113" i="3"/>
  <c r="E114" i="3"/>
  <c r="AB7" i="3"/>
  <c r="AB9" i="3" s="1"/>
  <c r="AA34" i="3"/>
  <c r="AA15" i="3"/>
  <c r="Z64" i="3"/>
  <c r="AA11" i="3"/>
  <c r="AA13" i="3" s="1"/>
  <c r="Z16" i="3"/>
  <c r="Z35" i="3"/>
  <c r="X58" i="3"/>
  <c r="K113" i="3"/>
  <c r="K114" i="3" s="1"/>
  <c r="B112" i="3"/>
  <c r="BK107" i="3"/>
  <c r="G113" i="3"/>
  <c r="G114" i="3" s="1"/>
  <c r="H113" i="3"/>
  <c r="H114" i="3"/>
  <c r="M25" i="9"/>
  <c r="N18" i="14"/>
  <c r="M33" i="9" s="1"/>
  <c r="M75" i="9" s="1"/>
  <c r="Y93" i="3"/>
  <c r="Y97" i="3"/>
  <c r="BL97" i="3" s="1"/>
  <c r="BR97" i="3" s="1"/>
  <c r="Y102" i="3"/>
  <c r="BL102" i="3" s="1"/>
  <c r="BR102" i="3" s="1"/>
  <c r="Z6" i="9"/>
  <c r="Y78" i="3"/>
  <c r="Y94" i="3"/>
  <c r="BL94" i="3" s="1"/>
  <c r="BR94" i="3" s="1"/>
  <c r="Y98" i="3"/>
  <c r="BL98" i="3" s="1"/>
  <c r="BR98" i="3" s="1"/>
  <c r="Y96" i="3"/>
  <c r="BL96" i="3" s="1"/>
  <c r="Y100" i="3"/>
  <c r="Y99" i="3"/>
  <c r="Y95" i="3"/>
  <c r="BL95" i="3" s="1"/>
  <c r="Y101" i="3"/>
  <c r="BL101" i="3" s="1"/>
  <c r="Y137" i="3"/>
  <c r="BL36" i="3"/>
  <c r="F113" i="3"/>
  <c r="F114" i="3" s="1"/>
  <c r="T76" i="9"/>
  <c r="Z17" i="3"/>
  <c r="Z18" i="3" s="1"/>
  <c r="E55" i="17"/>
  <c r="BR35" i="3"/>
  <c r="Y14" i="9"/>
  <c r="Y51" i="9"/>
  <c r="O17" i="14"/>
  <c r="G56" i="9"/>
  <c r="G59" i="9" s="1"/>
  <c r="G7" i="9"/>
  <c r="D113" i="3"/>
  <c r="D114" i="3"/>
  <c r="J67" i="17"/>
  <c r="C21" i="17"/>
  <c r="AA16" i="14"/>
  <c r="AB12" i="14" s="1"/>
  <c r="AB16" i="14" s="1"/>
  <c r="D64" i="17"/>
  <c r="BQ57" i="3"/>
  <c r="R113" i="3"/>
  <c r="R114" i="3"/>
  <c r="I113" i="3"/>
  <c r="I114" i="3" s="1"/>
  <c r="L74" i="9"/>
  <c r="L78" i="9" s="1"/>
  <c r="L31" i="9"/>
  <c r="L36" i="9" s="1"/>
  <c r="E54" i="17"/>
  <c r="Y36" i="14"/>
  <c r="X33" i="14"/>
  <c r="W35" i="14"/>
  <c r="Z36" i="3"/>
  <c r="Z39" i="3"/>
  <c r="Q113" i="3"/>
  <c r="Q114" i="3" s="1"/>
  <c r="BR64" i="3"/>
  <c r="X79" i="3"/>
  <c r="X19" i="3"/>
  <c r="X103" i="3"/>
  <c r="J50" i="9" l="1"/>
  <c r="J52" i="9" s="1"/>
  <c r="L50" i="9"/>
  <c r="L52" i="9" s="1"/>
  <c r="T50" i="9"/>
  <c r="T52" i="9" s="1"/>
  <c r="U50" i="9"/>
  <c r="U52" i="9" s="1"/>
  <c r="Q50" i="9"/>
  <c r="Q52" i="9" s="1"/>
  <c r="M50" i="9"/>
  <c r="M52" i="9" s="1"/>
  <c r="N50" i="9"/>
  <c r="K50" i="9"/>
  <c r="K52" i="9" s="1"/>
  <c r="W55" i="3"/>
  <c r="H50" i="9"/>
  <c r="H52" i="9" s="1"/>
  <c r="R50" i="9"/>
  <c r="R52" i="9" s="1"/>
  <c r="G50" i="9"/>
  <c r="G52" i="9" s="1"/>
  <c r="V138" i="3"/>
  <c r="P50" i="9"/>
  <c r="P52" i="9" s="1"/>
  <c r="X84" i="3"/>
  <c r="X85" i="3"/>
  <c r="X82" i="3"/>
  <c r="Z32" i="14"/>
  <c r="Z93" i="3"/>
  <c r="Z97" i="3"/>
  <c r="Z102" i="3"/>
  <c r="AA6" i="9"/>
  <c r="Z78" i="3"/>
  <c r="Z94" i="3"/>
  <c r="Z98" i="3"/>
  <c r="Z99" i="3"/>
  <c r="Z95" i="3"/>
  <c r="Z96" i="3"/>
  <c r="Z100" i="3"/>
  <c r="Z101" i="3"/>
  <c r="Z137" i="3"/>
  <c r="I50" i="9"/>
  <c r="I52" i="9" s="1"/>
  <c r="AA64" i="3"/>
  <c r="AB11" i="3"/>
  <c r="AB13" i="3" s="1"/>
  <c r="AA35" i="3"/>
  <c r="AA16" i="3"/>
  <c r="F50" i="9"/>
  <c r="F52" i="9" s="1"/>
  <c r="F61" i="9" s="1"/>
  <c r="F67" i="9" s="1"/>
  <c r="F71" i="9" s="1"/>
  <c r="F80" i="9" s="1"/>
  <c r="D50" i="9"/>
  <c r="D52" i="9" s="1"/>
  <c r="D61" i="9" s="1"/>
  <c r="D67" i="9" s="1"/>
  <c r="D71" i="9" s="1"/>
  <c r="D80" i="9" s="1"/>
  <c r="J64" i="17"/>
  <c r="H7" i="9"/>
  <c r="H56" i="9"/>
  <c r="H59" i="9" s="1"/>
  <c r="H61" i="9" s="1"/>
  <c r="H67" i="9" s="1"/>
  <c r="H71" i="9" s="1"/>
  <c r="H80" i="9" s="1"/>
  <c r="N25" i="9"/>
  <c r="O18" i="14"/>
  <c r="N33" i="9" s="1"/>
  <c r="BR70" i="3"/>
  <c r="BR67" i="3"/>
  <c r="BR69" i="3"/>
  <c r="BR74" i="3"/>
  <c r="BR73" i="3"/>
  <c r="BR36" i="3"/>
  <c r="BR77" i="3"/>
  <c r="BR68" i="3"/>
  <c r="E56" i="17"/>
  <c r="BR72" i="3"/>
  <c r="BR71" i="3"/>
  <c r="BR63" i="3"/>
  <c r="BR95" i="3"/>
  <c r="BR96" i="3"/>
  <c r="BM6" i="9"/>
  <c r="AA17" i="3"/>
  <c r="AA18" i="3" s="1"/>
  <c r="AA22" i="3"/>
  <c r="Y24" i="3"/>
  <c r="Y62" i="3"/>
  <c r="BL18" i="3"/>
  <c r="G48" i="17" s="1"/>
  <c r="N113" i="3"/>
  <c r="S50" i="9"/>
  <c r="S52" i="9" s="1"/>
  <c r="E50" i="9"/>
  <c r="E52" i="9" s="1"/>
  <c r="E61" i="9" s="1"/>
  <c r="E67" i="9" s="1"/>
  <c r="E71" i="9" s="1"/>
  <c r="E80" i="9" s="1"/>
  <c r="G61" i="9"/>
  <c r="G67" i="9" s="1"/>
  <c r="G71" i="9" s="1"/>
  <c r="G80" i="9" s="1"/>
  <c r="BL99" i="3"/>
  <c r="BR99" i="3" s="1"/>
  <c r="M74" i="9"/>
  <c r="M78" i="9" s="1"/>
  <c r="M31" i="9"/>
  <c r="M36" i="9" s="1"/>
  <c r="AA36" i="3"/>
  <c r="Z111" i="3"/>
  <c r="AB15" i="14"/>
  <c r="Z55" i="9"/>
  <c r="E71" i="17"/>
  <c r="BR111" i="3"/>
  <c r="U76" i="9"/>
  <c r="X34" i="14"/>
  <c r="X35" i="14" s="1"/>
  <c r="V38" i="9"/>
  <c r="X87" i="3"/>
  <c r="X83" i="3"/>
  <c r="X123" i="3" s="1"/>
  <c r="X86" i="3"/>
  <c r="X81" i="3"/>
  <c r="K54" i="17"/>
  <c r="Z62" i="3"/>
  <c r="Z24" i="3"/>
  <c r="BQ107" i="3"/>
  <c r="D69" i="17"/>
  <c r="J69" i="17" s="1"/>
  <c r="AA23" i="3"/>
  <c r="BL39" i="3"/>
  <c r="BR39" i="3" s="1"/>
  <c r="V131" i="3"/>
  <c r="P17" i="14"/>
  <c r="BR34" i="3"/>
  <c r="Y15" i="9"/>
  <c r="Y46" i="9"/>
  <c r="BR101" i="3"/>
  <c r="Z14" i="9"/>
  <c r="Z51" i="9"/>
  <c r="BM51" i="9" s="1"/>
  <c r="BL100" i="3"/>
  <c r="BR100" i="3" s="1"/>
  <c r="Y19" i="3"/>
  <c r="Y79" i="3"/>
  <c r="BL78" i="3"/>
  <c r="BR78" i="3" s="1"/>
  <c r="Y103" i="3"/>
  <c r="BL93" i="3"/>
  <c r="BR93" i="3" s="1"/>
  <c r="B114" i="3"/>
  <c r="B113" i="3"/>
  <c r="BK113" i="3" s="1"/>
  <c r="D72" i="17" s="1"/>
  <c r="J72" i="17" s="1"/>
  <c r="BK112" i="3"/>
  <c r="BQ112" i="3" s="1"/>
  <c r="AB22" i="3"/>
  <c r="AC7" i="3"/>
  <c r="AC9" i="3" s="1"/>
  <c r="AB34" i="3"/>
  <c r="AB15" i="3"/>
  <c r="U113" i="3"/>
  <c r="U114" i="3" s="1"/>
  <c r="X53" i="3"/>
  <c r="X131" i="3" s="1"/>
  <c r="AC14" i="14"/>
  <c r="AC13" i="14"/>
  <c r="AC12" i="14"/>
  <c r="AD11" i="14"/>
  <c r="Z36" i="14"/>
  <c r="Y33" i="14"/>
  <c r="W53" i="3"/>
  <c r="W131" i="3" s="1"/>
  <c r="X64" i="9"/>
  <c r="X65" i="9" s="1"/>
  <c r="BR40" i="3"/>
  <c r="V57" i="3"/>
  <c r="V50" i="9" l="1"/>
  <c r="V52" i="9" s="1"/>
  <c r="Q17" i="14"/>
  <c r="AB39" i="3"/>
  <c r="Y87" i="3"/>
  <c r="BL87" i="3" s="1"/>
  <c r="BR87" i="3" s="1"/>
  <c r="Y83" i="3"/>
  <c r="Y81" i="3"/>
  <c r="Y86" i="3"/>
  <c r="BL86" i="3" s="1"/>
  <c r="BR86" i="3" s="1"/>
  <c r="BL79" i="3"/>
  <c r="BR79" i="3" s="1"/>
  <c r="AD13" i="14"/>
  <c r="AD14" i="14"/>
  <c r="AE11" i="14"/>
  <c r="AB36" i="3"/>
  <c r="Y84" i="3"/>
  <c r="BL84" i="3" s="1"/>
  <c r="BR84" i="3" s="1"/>
  <c r="Y85" i="3"/>
  <c r="BL85" i="3" s="1"/>
  <c r="BR85" i="3" s="1"/>
  <c r="BL19" i="3"/>
  <c r="G49" i="17" s="1"/>
  <c r="Y82" i="3"/>
  <c r="BL82" i="3" s="1"/>
  <c r="BR82" i="3" s="1"/>
  <c r="AA40" i="3"/>
  <c r="Z41" i="3"/>
  <c r="Z26" i="3"/>
  <c r="X88" i="3"/>
  <c r="X105" i="3" s="1"/>
  <c r="V76" i="9"/>
  <c r="X57" i="3"/>
  <c r="I56" i="9"/>
  <c r="I59" i="9" s="1"/>
  <c r="I61" i="9" s="1"/>
  <c r="I67" i="9" s="1"/>
  <c r="I71" i="9" s="1"/>
  <c r="I80" i="9" s="1"/>
  <c r="I7" i="9"/>
  <c r="AA14" i="9"/>
  <c r="AA51" i="9"/>
  <c r="AB17" i="3"/>
  <c r="AB18" i="3" s="1"/>
  <c r="C50" i="9"/>
  <c r="C52" i="9" s="1"/>
  <c r="C61" i="9" s="1"/>
  <c r="C39" i="9"/>
  <c r="BK114" i="3"/>
  <c r="Z15" i="9"/>
  <c r="Z46" i="9"/>
  <c r="BM46" i="9" s="1"/>
  <c r="BM14" i="9"/>
  <c r="BM55" i="9"/>
  <c r="Y41" i="3"/>
  <c r="BL24" i="3"/>
  <c r="BL26" i="3" s="1"/>
  <c r="Y26" i="3"/>
  <c r="K56" i="17"/>
  <c r="AB64" i="3"/>
  <c r="AC11" i="3"/>
  <c r="AC13" i="3" s="1"/>
  <c r="AB35" i="3"/>
  <c r="AB16" i="3"/>
  <c r="Z33" i="14"/>
  <c r="V107" i="3"/>
  <c r="V130" i="3"/>
  <c r="AC16" i="14"/>
  <c r="AB23" i="3"/>
  <c r="AB40" i="3" s="1"/>
  <c r="BL103" i="3"/>
  <c r="O25" i="9"/>
  <c r="P18" i="14"/>
  <c r="O33" i="9" s="1"/>
  <c r="O75" i="9" s="1"/>
  <c r="Z65" i="3"/>
  <c r="Y34" i="14"/>
  <c r="W38" i="9"/>
  <c r="X55" i="3"/>
  <c r="AA93" i="3"/>
  <c r="AA97" i="3"/>
  <c r="AA102" i="3"/>
  <c r="AB6" i="9"/>
  <c r="AB55" i="9" s="1"/>
  <c r="AA78" i="3"/>
  <c r="AA94" i="3"/>
  <c r="AA98" i="3"/>
  <c r="AA101" i="3"/>
  <c r="AA99" i="3"/>
  <c r="AA95" i="3"/>
  <c r="AA96" i="3"/>
  <c r="AA100" i="3"/>
  <c r="AA137" i="3"/>
  <c r="Y65" i="3"/>
  <c r="BL65" i="3" s="1"/>
  <c r="BL62" i="3"/>
  <c r="BR62" i="3" s="1"/>
  <c r="AA39" i="3"/>
  <c r="AA55" i="9"/>
  <c r="N75" i="9"/>
  <c r="BL75" i="9" s="1"/>
  <c r="BL33" i="9"/>
  <c r="D90" i="17" s="1"/>
  <c r="W138" i="3"/>
  <c r="N52" i="9"/>
  <c r="BL52" i="9" s="1"/>
  <c r="BL50" i="9"/>
  <c r="AA111" i="3"/>
  <c r="AC15" i="14"/>
  <c r="AC22" i="3"/>
  <c r="AD7" i="3"/>
  <c r="AD9" i="3" s="1"/>
  <c r="AC23" i="3"/>
  <c r="AC40" i="3" s="1"/>
  <c r="AC15" i="3"/>
  <c r="AC34" i="3"/>
  <c r="Y64" i="9"/>
  <c r="Y65" i="9" s="1"/>
  <c r="K71" i="17"/>
  <c r="K55" i="17"/>
  <c r="N114" i="3"/>
  <c r="AA32" i="14"/>
  <c r="AA36" i="14" s="1"/>
  <c r="AA62" i="3"/>
  <c r="AA65" i="3" s="1"/>
  <c r="AA24" i="3"/>
  <c r="AA41" i="3" s="1"/>
  <c r="N74" i="9"/>
  <c r="N31" i="9"/>
  <c r="BL25" i="9"/>
  <c r="Z19" i="3"/>
  <c r="Z79" i="3"/>
  <c r="Z103" i="3"/>
  <c r="W57" i="3"/>
  <c r="AE13" i="14" l="1"/>
  <c r="AF11" i="14"/>
  <c r="AE14" i="14"/>
  <c r="O50" i="9"/>
  <c r="O52" i="9" s="1"/>
  <c r="V112" i="3"/>
  <c r="Z42" i="3"/>
  <c r="AB111" i="3"/>
  <c r="AD15" i="14"/>
  <c r="BL83" i="3"/>
  <c r="BR83" i="3" s="1"/>
  <c r="AE7" i="3"/>
  <c r="AE9" i="3" s="1"/>
  <c r="AD15" i="3"/>
  <c r="AD34" i="3"/>
  <c r="O74" i="9"/>
  <c r="O78" i="9" s="1"/>
  <c r="O31" i="9"/>
  <c r="O36" i="9" s="1"/>
  <c r="G50" i="17"/>
  <c r="BL58" i="3"/>
  <c r="BQ114" i="3"/>
  <c r="D73" i="17"/>
  <c r="J73" i="17" s="1"/>
  <c r="N36" i="9"/>
  <c r="BL36" i="9" s="1"/>
  <c r="BL31" i="9"/>
  <c r="D89" i="17" s="1"/>
  <c r="D91" i="17" s="1"/>
  <c r="AC39" i="3"/>
  <c r="AB14" i="9"/>
  <c r="AB51" i="9"/>
  <c r="AA19" i="3"/>
  <c r="AA79" i="3"/>
  <c r="AA103" i="3"/>
  <c r="E68" i="17"/>
  <c r="K68" i="17" s="1"/>
  <c r="BR103" i="3"/>
  <c r="BL41" i="3"/>
  <c r="BR41" i="3" s="1"/>
  <c r="Y42" i="3"/>
  <c r="BL42" i="3" s="1"/>
  <c r="BR42" i="3" s="1"/>
  <c r="C40" i="9"/>
  <c r="C42" i="9" s="1"/>
  <c r="D39" i="9"/>
  <c r="AA15" i="9"/>
  <c r="AA46" i="9"/>
  <c r="X107" i="3"/>
  <c r="X112" i="3" s="1"/>
  <c r="X130" i="3"/>
  <c r="Z48" i="3"/>
  <c r="Z46" i="3"/>
  <c r="Z51" i="3"/>
  <c r="Z47" i="3"/>
  <c r="Z52" i="3"/>
  <c r="Z49" i="3"/>
  <c r="Z50" i="3"/>
  <c r="Z58" i="3"/>
  <c r="R17" i="14"/>
  <c r="P25" i="9"/>
  <c r="Q18" i="14"/>
  <c r="P33" i="9" s="1"/>
  <c r="P75" i="9" s="1"/>
  <c r="AA42" i="3"/>
  <c r="AA43" i="3" s="1"/>
  <c r="W76" i="9"/>
  <c r="Y48" i="3"/>
  <c r="BL48" i="3" s="1"/>
  <c r="BR48" i="3" s="1"/>
  <c r="Y46" i="3"/>
  <c r="Y51" i="3"/>
  <c r="BL51" i="3" s="1"/>
  <c r="BR51" i="3" s="1"/>
  <c r="Y47" i="3"/>
  <c r="BL47" i="3" s="1"/>
  <c r="BR47" i="3" s="1"/>
  <c r="Y52" i="3"/>
  <c r="BL52" i="3" s="1"/>
  <c r="BR52" i="3" s="1"/>
  <c r="Y50" i="3"/>
  <c r="BL50" i="3" s="1"/>
  <c r="BR50" i="3" s="1"/>
  <c r="Y49" i="3"/>
  <c r="BL49" i="3" s="1"/>
  <c r="BR49" i="3" s="1"/>
  <c r="Y58" i="3"/>
  <c r="Z64" i="9"/>
  <c r="BM15" i="9"/>
  <c r="E86" i="17" s="1"/>
  <c r="AB24" i="3"/>
  <c r="AB41" i="3" s="1"/>
  <c r="AB42" i="3" s="1"/>
  <c r="AB62" i="3"/>
  <c r="AB65" i="3" s="1"/>
  <c r="AB93" i="3"/>
  <c r="AB97" i="3"/>
  <c r="AB102" i="3"/>
  <c r="AC6" i="9"/>
  <c r="AB78" i="3"/>
  <c r="AB94" i="3"/>
  <c r="AB98" i="3"/>
  <c r="AB100" i="3"/>
  <c r="AB101" i="3"/>
  <c r="AB99" i="3"/>
  <c r="AB95" i="3"/>
  <c r="AB96" i="3"/>
  <c r="AB137" i="3"/>
  <c r="Z87" i="3"/>
  <c r="Z81" i="3"/>
  <c r="Z83" i="3"/>
  <c r="Z86" i="3"/>
  <c r="AA26" i="3"/>
  <c r="Z34" i="14"/>
  <c r="X38" i="9"/>
  <c r="Y35" i="14"/>
  <c r="X138" i="3"/>
  <c r="W107" i="3"/>
  <c r="W112" i="3" s="1"/>
  <c r="W130" i="3"/>
  <c r="Z84" i="3"/>
  <c r="Z85" i="3"/>
  <c r="Z82" i="3"/>
  <c r="AB32" i="14"/>
  <c r="N78" i="9"/>
  <c r="BL78" i="9" s="1"/>
  <c r="D79" i="17" s="1"/>
  <c r="BL74" i="9"/>
  <c r="AA33" i="14"/>
  <c r="BR65" i="3"/>
  <c r="AC55" i="9"/>
  <c r="AC64" i="3"/>
  <c r="AD11" i="3"/>
  <c r="AD13" i="3" s="1"/>
  <c r="AD23" i="3" s="1"/>
  <c r="AC16" i="3"/>
  <c r="AC17" i="3" s="1"/>
  <c r="AC18" i="3" s="1"/>
  <c r="AC35" i="3"/>
  <c r="C67" i="9"/>
  <c r="C71" i="9" s="1"/>
  <c r="C80" i="9" s="1"/>
  <c r="J7" i="9"/>
  <c r="J56" i="9"/>
  <c r="J59" i="9" s="1"/>
  <c r="J61" i="9" s="1"/>
  <c r="J67" i="9" s="1"/>
  <c r="J71" i="9" s="1"/>
  <c r="J80" i="9" s="1"/>
  <c r="AD12" i="14"/>
  <c r="AD16" i="14" s="1"/>
  <c r="Y88" i="3"/>
  <c r="BL81" i="3"/>
  <c r="BR81" i="3" s="1"/>
  <c r="AB26" i="3"/>
  <c r="AB58" i="3" s="1"/>
  <c r="AD40" i="3" l="1"/>
  <c r="AC24" i="3"/>
  <c r="AC62" i="3"/>
  <c r="AC65" i="3" s="1"/>
  <c r="AB33" i="14"/>
  <c r="AC36" i="3"/>
  <c r="AA34" i="14"/>
  <c r="Y38" i="9"/>
  <c r="Z123" i="3"/>
  <c r="Q25" i="9"/>
  <c r="R18" i="14"/>
  <c r="Q33" i="9" s="1"/>
  <c r="Q75" i="9" s="1"/>
  <c r="X113" i="3"/>
  <c r="X114" i="3" s="1"/>
  <c r="AB15" i="9"/>
  <c r="AB46" i="9"/>
  <c r="Y123" i="3"/>
  <c r="V113" i="3"/>
  <c r="V114" i="3" s="1"/>
  <c r="S17" i="14"/>
  <c r="BL88" i="3"/>
  <c r="Y105" i="3"/>
  <c r="AB36" i="14"/>
  <c r="AA48" i="3"/>
  <c r="AA46" i="3"/>
  <c r="AA51" i="3"/>
  <c r="AA47" i="3"/>
  <c r="AA52" i="3"/>
  <c r="AA49" i="3"/>
  <c r="AA50" i="3"/>
  <c r="AA58" i="3"/>
  <c r="Z88" i="3"/>
  <c r="AB79" i="3"/>
  <c r="AB19" i="3"/>
  <c r="AB103" i="3"/>
  <c r="P74" i="9"/>
  <c r="P78" i="9" s="1"/>
  <c r="P31" i="9"/>
  <c r="P36" i="9" s="1"/>
  <c r="Z53" i="3"/>
  <c r="AA87" i="3"/>
  <c r="AA83" i="3"/>
  <c r="AA123" i="3" s="1"/>
  <c r="AA86" i="3"/>
  <c r="AA81" i="3"/>
  <c r="Z43" i="3"/>
  <c r="AF13" i="14"/>
  <c r="AG11" i="14"/>
  <c r="AF14" i="14"/>
  <c r="K56" i="9"/>
  <c r="K59" i="9" s="1"/>
  <c r="K61" i="9" s="1"/>
  <c r="K7" i="9"/>
  <c r="W113" i="3"/>
  <c r="W114" i="3" s="1"/>
  <c r="AC14" i="9"/>
  <c r="AC51" i="9"/>
  <c r="Y53" i="3"/>
  <c r="BL46" i="3"/>
  <c r="BR46" i="3" s="1"/>
  <c r="AB43" i="3"/>
  <c r="AA64" i="9"/>
  <c r="AA65" i="9" s="1"/>
  <c r="Y43" i="3"/>
  <c r="AA84" i="3"/>
  <c r="AA85" i="3"/>
  <c r="AA82" i="3"/>
  <c r="AC32" i="14"/>
  <c r="AC36" i="14" s="1"/>
  <c r="AF7" i="3"/>
  <c r="AF9" i="3" s="1"/>
  <c r="AE34" i="3"/>
  <c r="AE15" i="3"/>
  <c r="AE12" i="14"/>
  <c r="AE16" i="14" s="1"/>
  <c r="AB48" i="3"/>
  <c r="AB46" i="3"/>
  <c r="AB51" i="3"/>
  <c r="AB47" i="3"/>
  <c r="AB52" i="3"/>
  <c r="AB50" i="3"/>
  <c r="AB49" i="3"/>
  <c r="C83" i="9"/>
  <c r="AD64" i="3"/>
  <c r="AE11" i="3"/>
  <c r="AE13" i="3" s="1"/>
  <c r="AE23" i="3" s="1"/>
  <c r="AD16" i="3"/>
  <c r="AD17" i="3" s="1"/>
  <c r="AD18" i="3" s="1"/>
  <c r="AD35" i="3"/>
  <c r="X76" i="9"/>
  <c r="Z65" i="9"/>
  <c r="BM65" i="9" s="1"/>
  <c r="E78" i="17" s="1"/>
  <c r="BM64" i="9"/>
  <c r="D40" i="9"/>
  <c r="D42" i="9" s="1"/>
  <c r="E39" i="9"/>
  <c r="Z35" i="14"/>
  <c r="AD36" i="3"/>
  <c r="AD22" i="3"/>
  <c r="AC111" i="3"/>
  <c r="AE15" i="14"/>
  <c r="AD62" i="3" l="1"/>
  <c r="AD24" i="3"/>
  <c r="AD41" i="3" s="1"/>
  <c r="W50" i="9"/>
  <c r="W52" i="9" s="1"/>
  <c r="Y50" i="9"/>
  <c r="Y52" i="9" s="1"/>
  <c r="AE40" i="3"/>
  <c r="X50" i="9"/>
  <c r="X52" i="9" s="1"/>
  <c r="AD93" i="3"/>
  <c r="AD97" i="3"/>
  <c r="AD102" i="3"/>
  <c r="AE6" i="9"/>
  <c r="AD78" i="3"/>
  <c r="AD94" i="3"/>
  <c r="AD98" i="3"/>
  <c r="AD99" i="3"/>
  <c r="AD95" i="3"/>
  <c r="AD96" i="3"/>
  <c r="AD100" i="3"/>
  <c r="AD101" i="3"/>
  <c r="AD137" i="3"/>
  <c r="AB57" i="3"/>
  <c r="AD111" i="3"/>
  <c r="AF15" i="14"/>
  <c r="AB87" i="3"/>
  <c r="AB83" i="3"/>
  <c r="AB123" i="3" s="1"/>
  <c r="AB86" i="3"/>
  <c r="AB81" i="3"/>
  <c r="AB64" i="9"/>
  <c r="AB65" i="9" s="1"/>
  <c r="Q74" i="9"/>
  <c r="Q78" i="9" s="1"/>
  <c r="Q31" i="9"/>
  <c r="Q36" i="9" s="1"/>
  <c r="Y76" i="9"/>
  <c r="AC41" i="3"/>
  <c r="AC26" i="3"/>
  <c r="E40" i="9"/>
  <c r="E42" i="9" s="1"/>
  <c r="F39" i="9"/>
  <c r="AE64" i="3"/>
  <c r="AF11" i="3"/>
  <c r="AF13" i="3" s="1"/>
  <c r="AE35" i="3"/>
  <c r="AE16" i="3"/>
  <c r="AE17" i="3" s="1"/>
  <c r="AE18" i="3" s="1"/>
  <c r="AG7" i="3"/>
  <c r="AG9" i="3" s="1"/>
  <c r="AF34" i="3"/>
  <c r="AF15" i="3"/>
  <c r="T17" i="14"/>
  <c r="Z55" i="3"/>
  <c r="Z57" i="3"/>
  <c r="AB34" i="14"/>
  <c r="Z38" i="9"/>
  <c r="AA35" i="14"/>
  <c r="AB53" i="3"/>
  <c r="AB131" i="3" s="1"/>
  <c r="AE22" i="3"/>
  <c r="L7" i="9"/>
  <c r="L56" i="9"/>
  <c r="L59" i="9" s="1"/>
  <c r="L61" i="9" s="1"/>
  <c r="L67" i="9" s="1"/>
  <c r="L71" i="9" s="1"/>
  <c r="L80" i="9" s="1"/>
  <c r="AG13" i="14"/>
  <c r="AG12" i="14"/>
  <c r="AG16" i="14" s="1"/>
  <c r="AG14" i="14"/>
  <c r="AH11" i="14"/>
  <c r="AA53" i="3"/>
  <c r="Y138" i="3"/>
  <c r="BL105" i="3"/>
  <c r="BR105" i="3" s="1"/>
  <c r="AC93" i="3"/>
  <c r="AC97" i="3"/>
  <c r="AC102" i="3"/>
  <c r="AD6" i="9"/>
  <c r="AC78" i="3"/>
  <c r="AC94" i="3"/>
  <c r="AC98" i="3"/>
  <c r="AC96" i="3"/>
  <c r="AC100" i="3"/>
  <c r="AC58" i="3"/>
  <c r="AC99" i="3"/>
  <c r="AC95" i="3"/>
  <c r="AC137" i="3"/>
  <c r="AC101" i="3"/>
  <c r="AD39" i="3"/>
  <c r="AD26" i="3"/>
  <c r="AD58" i="3" s="1"/>
  <c r="D82" i="9"/>
  <c r="D83" i="9" s="1"/>
  <c r="C88" i="9"/>
  <c r="C5" i="9"/>
  <c r="C9" i="9" s="1"/>
  <c r="C22" i="9" s="1"/>
  <c r="C44" i="9" s="1"/>
  <c r="AE36" i="3"/>
  <c r="AD36" i="14"/>
  <c r="AC33" i="14"/>
  <c r="Y55" i="3"/>
  <c r="BL55" i="3" s="1"/>
  <c r="Y57" i="3"/>
  <c r="BL43" i="3"/>
  <c r="Y131" i="3"/>
  <c r="BL53" i="3"/>
  <c r="AC15" i="9"/>
  <c r="AC46" i="9"/>
  <c r="K67" i="9"/>
  <c r="K71" i="9" s="1"/>
  <c r="K80" i="9" s="1"/>
  <c r="AF12" i="14"/>
  <c r="AF16" i="14" s="1"/>
  <c r="AA88" i="3"/>
  <c r="AA105" i="3" s="1"/>
  <c r="Z131" i="3"/>
  <c r="AB84" i="3"/>
  <c r="AB85" i="3"/>
  <c r="AB82" i="3"/>
  <c r="AD32" i="14"/>
  <c r="Z105" i="3"/>
  <c r="BR88" i="3"/>
  <c r="E67" i="17"/>
  <c r="K67" i="17" s="1"/>
  <c r="R25" i="9"/>
  <c r="S18" i="14"/>
  <c r="R33" i="9" s="1"/>
  <c r="R75" i="9" s="1"/>
  <c r="AB35" i="14"/>
  <c r="AE62" i="3" l="1"/>
  <c r="AE65" i="3" s="1"/>
  <c r="AE24" i="3"/>
  <c r="AB130" i="3"/>
  <c r="Z138" i="3"/>
  <c r="AD42" i="3"/>
  <c r="AD43" i="3" s="1"/>
  <c r="AG15" i="3"/>
  <c r="AH7" i="3"/>
  <c r="AH9" i="3" s="1"/>
  <c r="AG34" i="3"/>
  <c r="AF64" i="3"/>
  <c r="AG11" i="3"/>
  <c r="AG13" i="3" s="1"/>
  <c r="AF35" i="3"/>
  <c r="AF16" i="3"/>
  <c r="R74" i="9"/>
  <c r="R78" i="9" s="1"/>
  <c r="R31" i="9"/>
  <c r="R36" i="9" s="1"/>
  <c r="AC64" i="9"/>
  <c r="AC65" i="9" s="1"/>
  <c r="Y130" i="3"/>
  <c r="Y107" i="3"/>
  <c r="BL57" i="3"/>
  <c r="E82" i="9"/>
  <c r="E83" i="9" s="1"/>
  <c r="D5" i="9"/>
  <c r="D9" i="9" s="1"/>
  <c r="D22" i="9" s="1"/>
  <c r="D44" i="9" s="1"/>
  <c r="D45" i="9" s="1"/>
  <c r="D88" i="9"/>
  <c r="AD14" i="9"/>
  <c r="AD51" i="9"/>
  <c r="AC19" i="3"/>
  <c r="AC79" i="3"/>
  <c r="AC103" i="3"/>
  <c r="AA131" i="3"/>
  <c r="AA57" i="3"/>
  <c r="AA55" i="3"/>
  <c r="AE111" i="3"/>
  <c r="AG15" i="14"/>
  <c r="BM38" i="9"/>
  <c r="E93" i="17" s="1"/>
  <c r="Z76" i="9"/>
  <c r="BM76" i="9" s="1"/>
  <c r="Z107" i="3"/>
  <c r="Z130" i="3"/>
  <c r="AF17" i="3"/>
  <c r="AF18" i="3" s="1"/>
  <c r="AF22" i="3"/>
  <c r="AC48" i="3"/>
  <c r="AC46" i="3"/>
  <c r="AC51" i="3"/>
  <c r="AC47" i="3"/>
  <c r="AC52" i="3"/>
  <c r="AC50" i="3"/>
  <c r="AC49" i="3"/>
  <c r="AB55" i="3"/>
  <c r="AD19" i="3"/>
  <c r="AD79" i="3"/>
  <c r="AD103" i="3"/>
  <c r="AA138" i="3"/>
  <c r="E60" i="17"/>
  <c r="K60" i="17" s="1"/>
  <c r="BR43" i="3"/>
  <c r="BR53" i="3"/>
  <c r="E61" i="17"/>
  <c r="K61" i="17" s="1"/>
  <c r="AE55" i="9"/>
  <c r="AD55" i="9"/>
  <c r="AH13" i="14"/>
  <c r="AH12" i="14"/>
  <c r="AH14" i="14"/>
  <c r="AI11" i="14"/>
  <c r="AC34" i="14"/>
  <c r="AA38" i="9"/>
  <c r="S25" i="9"/>
  <c r="T18" i="14"/>
  <c r="S33" i="9" s="1"/>
  <c r="S75" i="9" s="1"/>
  <c r="AF36" i="3"/>
  <c r="F40" i="9"/>
  <c r="F42" i="9" s="1"/>
  <c r="G39" i="9"/>
  <c r="AC42" i="3"/>
  <c r="AB88" i="3"/>
  <c r="AB105" i="3" s="1"/>
  <c r="AB138" i="3" s="1"/>
  <c r="AE26" i="3"/>
  <c r="AE39" i="3"/>
  <c r="AD33" i="14"/>
  <c r="E62" i="17"/>
  <c r="K62" i="17" s="1"/>
  <c r="BR55" i="3"/>
  <c r="AE93" i="3"/>
  <c r="AE97" i="3"/>
  <c r="AE102" i="3"/>
  <c r="AF6" i="9"/>
  <c r="AF55" i="9" s="1"/>
  <c r="AE78" i="3"/>
  <c r="AE94" i="3"/>
  <c r="AE98" i="3"/>
  <c r="AE101" i="3"/>
  <c r="AE99" i="3"/>
  <c r="AE95" i="3"/>
  <c r="AE96" i="3"/>
  <c r="AE100" i="3"/>
  <c r="AE137" i="3"/>
  <c r="AE58" i="3"/>
  <c r="AD48" i="3"/>
  <c r="AD46" i="3"/>
  <c r="AD51" i="3"/>
  <c r="AD47" i="3"/>
  <c r="AD52" i="3"/>
  <c r="AD49" i="3"/>
  <c r="AD50" i="3"/>
  <c r="U17" i="14"/>
  <c r="M7" i="9"/>
  <c r="M56" i="9" s="1"/>
  <c r="M59" i="9" s="1"/>
  <c r="M61" i="9" s="1"/>
  <c r="AF23" i="3"/>
  <c r="AF40" i="3" s="1"/>
  <c r="AE14" i="9"/>
  <c r="AE51" i="9"/>
  <c r="AD65" i="3"/>
  <c r="M67" i="9" l="1"/>
  <c r="M71" i="9" s="1"/>
  <c r="M80" i="9" s="1"/>
  <c r="AE42" i="3"/>
  <c r="AD34" i="14"/>
  <c r="AB38" i="9"/>
  <c r="AF111" i="3"/>
  <c r="AH15" i="14"/>
  <c r="AD87" i="3"/>
  <c r="AD81" i="3"/>
  <c r="AD86" i="3"/>
  <c r="AD83" i="3"/>
  <c r="AD123" i="3" s="1"/>
  <c r="AF24" i="3"/>
  <c r="AF41" i="3" s="1"/>
  <c r="AF62" i="3"/>
  <c r="AC84" i="3"/>
  <c r="AC85" i="3"/>
  <c r="AC82" i="3"/>
  <c r="AE32" i="14"/>
  <c r="BR57" i="3"/>
  <c r="E64" i="17"/>
  <c r="AG16" i="3"/>
  <c r="AG35" i="3"/>
  <c r="AG64" i="3"/>
  <c r="AH11" i="3"/>
  <c r="AH13" i="3" s="1"/>
  <c r="AG17" i="3"/>
  <c r="AG18" i="3" s="1"/>
  <c r="AB107" i="3"/>
  <c r="AB112" i="3" s="1"/>
  <c r="AE41" i="3"/>
  <c r="AE43" i="3" s="1"/>
  <c r="AD53" i="3"/>
  <c r="AD131" i="3" s="1"/>
  <c r="AE48" i="3"/>
  <c r="AE46" i="3"/>
  <c r="AE51" i="3"/>
  <c r="AE47" i="3"/>
  <c r="AE52" i="3"/>
  <c r="AE49" i="3"/>
  <c r="AE50" i="3"/>
  <c r="G40" i="9"/>
  <c r="G42" i="9" s="1"/>
  <c r="H39" i="9"/>
  <c r="S74" i="9"/>
  <c r="S78" i="9" s="1"/>
  <c r="S31" i="9"/>
  <c r="S36" i="9" s="1"/>
  <c r="AI14" i="14"/>
  <c r="AI12" i="14"/>
  <c r="AI16" i="14" s="1"/>
  <c r="AJ11" i="14"/>
  <c r="AI13" i="14"/>
  <c r="AD84" i="3"/>
  <c r="AD85" i="3"/>
  <c r="AD82" i="3"/>
  <c r="AF32" i="14"/>
  <c r="AC53" i="3"/>
  <c r="Y112" i="3"/>
  <c r="BL107" i="3"/>
  <c r="AG23" i="3"/>
  <c r="AG40" i="3" s="1"/>
  <c r="AD35" i="14"/>
  <c r="V17" i="14"/>
  <c r="AA107" i="3"/>
  <c r="AA112" i="3" s="1"/>
  <c r="AA130" i="3"/>
  <c r="AG36" i="3"/>
  <c r="AG22" i="3"/>
  <c r="N7" i="9"/>
  <c r="N56" i="9" s="1"/>
  <c r="AG55" i="9"/>
  <c r="T25" i="9"/>
  <c r="U18" i="14"/>
  <c r="T33" i="9" s="1"/>
  <c r="T75" i="9" s="1"/>
  <c r="AE15" i="9"/>
  <c r="AE46" i="9"/>
  <c r="AC35" i="14"/>
  <c r="AF14" i="9"/>
  <c r="AF51" i="9"/>
  <c r="AE79" i="3"/>
  <c r="AE19" i="3"/>
  <c r="AE103" i="3"/>
  <c r="AC43" i="3"/>
  <c r="AF93" i="3"/>
  <c r="AF97" i="3"/>
  <c r="AF102" i="3"/>
  <c r="AG6" i="9"/>
  <c r="AF78" i="3"/>
  <c r="AF94" i="3"/>
  <c r="AF98" i="3"/>
  <c r="AF100" i="3"/>
  <c r="AF101" i="3"/>
  <c r="AF99" i="3"/>
  <c r="AF95" i="3"/>
  <c r="AF96" i="3"/>
  <c r="AF137" i="3"/>
  <c r="AA76" i="9"/>
  <c r="AH16" i="14"/>
  <c r="AF26" i="3"/>
  <c r="AF39" i="3"/>
  <c r="Z112" i="3"/>
  <c r="AC87" i="3"/>
  <c r="AC83" i="3"/>
  <c r="AC81" i="3"/>
  <c r="AC86" i="3"/>
  <c r="AD15" i="9"/>
  <c r="AD46" i="9"/>
  <c r="F82" i="9"/>
  <c r="F83" i="9" s="1"/>
  <c r="E5" i="9"/>
  <c r="E9" i="9" s="1"/>
  <c r="E22" i="9" s="1"/>
  <c r="E44" i="9" s="1"/>
  <c r="E45" i="9" s="1"/>
  <c r="E88" i="9"/>
  <c r="AH15" i="3"/>
  <c r="AH34" i="3"/>
  <c r="AH22" i="3"/>
  <c r="AI7" i="3"/>
  <c r="AI9" i="3" s="1"/>
  <c r="AH23" i="3"/>
  <c r="AH40" i="3" s="1"/>
  <c r="BL56" i="9" l="1"/>
  <c r="N59" i="9"/>
  <c r="AF79" i="3"/>
  <c r="AF19" i="3"/>
  <c r="AE87" i="3"/>
  <c r="AE83" i="3"/>
  <c r="AE123" i="3" s="1"/>
  <c r="AE86" i="3"/>
  <c r="AE81" i="3"/>
  <c r="AB113" i="3"/>
  <c r="AB114" i="3" s="1"/>
  <c r="G82" i="9"/>
  <c r="G83" i="9" s="1"/>
  <c r="F5" i="9"/>
  <c r="F9" i="9" s="1"/>
  <c r="F22" i="9" s="1"/>
  <c r="F44" i="9" s="1"/>
  <c r="F45" i="9" s="1"/>
  <c r="F88" i="9"/>
  <c r="AG14" i="9"/>
  <c r="AG51" i="9"/>
  <c r="AC55" i="3"/>
  <c r="AC57" i="3"/>
  <c r="AE64" i="9"/>
  <c r="AE65" i="9" s="1"/>
  <c r="AF33" i="14"/>
  <c r="W17" i="14"/>
  <c r="AD88" i="3"/>
  <c r="AD105" i="3" s="1"/>
  <c r="AB76" i="9"/>
  <c r="AF48" i="3"/>
  <c r="AF46" i="3"/>
  <c r="AF51" i="3"/>
  <c r="AF47" i="3"/>
  <c r="AF52" i="3"/>
  <c r="AF49" i="3"/>
  <c r="AF50" i="3"/>
  <c r="AG39" i="3"/>
  <c r="H40" i="9"/>
  <c r="H42" i="9" s="1"/>
  <c r="I39" i="9"/>
  <c r="K64" i="17"/>
  <c r="AI15" i="3"/>
  <c r="AI34" i="3"/>
  <c r="AJ7" i="3"/>
  <c r="AJ9" i="3" s="1"/>
  <c r="AC88" i="3"/>
  <c r="AF15" i="9"/>
  <c r="AF46" i="9"/>
  <c r="O7" i="9"/>
  <c r="O56" i="9"/>
  <c r="O59" i="9" s="1"/>
  <c r="O61" i="9" s="1"/>
  <c r="BL7" i="9"/>
  <c r="D85" i="17" s="1"/>
  <c r="BR107" i="3"/>
  <c r="E69" i="17"/>
  <c r="K69" i="17" s="1"/>
  <c r="AG111" i="3"/>
  <c r="AI15" i="14"/>
  <c r="AG62" i="3"/>
  <c r="AG65" i="3" s="1"/>
  <c r="AG24" i="3"/>
  <c r="AG41" i="3" s="1"/>
  <c r="AF36" i="14"/>
  <c r="AE33" i="14"/>
  <c r="AE36" i="14"/>
  <c r="AE34" i="14" s="1"/>
  <c r="AF65" i="3"/>
  <c r="AC38" i="9"/>
  <c r="AD57" i="3"/>
  <c r="AF103" i="3"/>
  <c r="AA113" i="3"/>
  <c r="AA114" i="3" s="1"/>
  <c r="Z113" i="3"/>
  <c r="Z114" i="3"/>
  <c r="AG93" i="3"/>
  <c r="AG97" i="3"/>
  <c r="AH6" i="9"/>
  <c r="AG78" i="3"/>
  <c r="AG94" i="3"/>
  <c r="AG100" i="3"/>
  <c r="AG95" i="3"/>
  <c r="AG101" i="3"/>
  <c r="AG96" i="3"/>
  <c r="AG99" i="3"/>
  <c r="AG98" i="3"/>
  <c r="AG137" i="3"/>
  <c r="AG102" i="3"/>
  <c r="AH39" i="3"/>
  <c r="AD64" i="9"/>
  <c r="AD65" i="9" s="1"/>
  <c r="AC123" i="3"/>
  <c r="AF42" i="3"/>
  <c r="AF43" i="3"/>
  <c r="AF58" i="3"/>
  <c r="AE84" i="3"/>
  <c r="AE85" i="3"/>
  <c r="AE82" i="3"/>
  <c r="AG32" i="14"/>
  <c r="AG36" i="14" s="1"/>
  <c r="T74" i="9"/>
  <c r="T78" i="9" s="1"/>
  <c r="T31" i="9"/>
  <c r="T36" i="9" s="1"/>
  <c r="U25" i="9"/>
  <c r="V18" i="14"/>
  <c r="U33" i="9" s="1"/>
  <c r="U75" i="9" s="1"/>
  <c r="Y113" i="3"/>
  <c r="BL113" i="3" s="1"/>
  <c r="E72" i="17" s="1"/>
  <c r="K72" i="17" s="1"/>
  <c r="Y114" i="3"/>
  <c r="BL112" i="3"/>
  <c r="BR112" i="3" s="1"/>
  <c r="AC131" i="3"/>
  <c r="AJ14" i="14"/>
  <c r="AJ12" i="14"/>
  <c r="AJ13" i="14"/>
  <c r="AK11" i="14"/>
  <c r="AE53" i="3"/>
  <c r="AE131" i="3" s="1"/>
  <c r="AH35" i="3"/>
  <c r="AH36" i="3" s="1"/>
  <c r="AH16" i="3"/>
  <c r="AH17" i="3" s="1"/>
  <c r="AH18" i="3" s="1"/>
  <c r="AH64" i="3"/>
  <c r="AI11" i="3"/>
  <c r="AI13" i="3" s="1"/>
  <c r="AI23" i="3" s="1"/>
  <c r="AI40" i="3" s="1"/>
  <c r="AD55" i="3"/>
  <c r="AB50" i="9" l="1"/>
  <c r="AB52" i="9" s="1"/>
  <c r="AH24" i="3"/>
  <c r="AH62" i="3"/>
  <c r="AH65" i="3" s="1"/>
  <c r="AH95" i="3"/>
  <c r="AH100" i="3"/>
  <c r="AH99" i="3"/>
  <c r="AH96" i="3"/>
  <c r="AH101" i="3"/>
  <c r="AH78" i="3"/>
  <c r="AH94" i="3"/>
  <c r="AH97" i="3"/>
  <c r="AI6" i="9"/>
  <c r="AH102" i="3"/>
  <c r="AH137" i="3"/>
  <c r="AH93" i="3"/>
  <c r="AH103" i="3" s="1"/>
  <c r="AH98" i="3"/>
  <c r="AF34" i="14"/>
  <c r="AD38" i="9"/>
  <c r="AC50" i="9"/>
  <c r="AC52" i="9" s="1"/>
  <c r="AJ16" i="14"/>
  <c r="U74" i="9"/>
  <c r="U78" i="9" s="1"/>
  <c r="U31" i="9"/>
  <c r="U36" i="9" s="1"/>
  <c r="AG79" i="3"/>
  <c r="AG19" i="3"/>
  <c r="AC105" i="3"/>
  <c r="I40" i="9"/>
  <c r="I42" i="9" s="1"/>
  <c r="J39" i="9"/>
  <c r="AF35" i="14"/>
  <c r="AC107" i="3"/>
  <c r="AC130" i="3"/>
  <c r="AE88" i="3"/>
  <c r="AE105" i="3" s="1"/>
  <c r="AF84" i="3"/>
  <c r="AF85" i="3"/>
  <c r="AF82" i="3"/>
  <c r="AH32" i="14"/>
  <c r="AE55" i="3"/>
  <c r="AI55" i="9"/>
  <c r="AD107" i="3"/>
  <c r="AD112" i="3" s="1"/>
  <c r="AD130" i="3"/>
  <c r="AF64" i="9"/>
  <c r="AF65" i="9" s="1"/>
  <c r="AF53" i="3"/>
  <c r="AF131" i="3" s="1"/>
  <c r="AD138" i="3"/>
  <c r="AG15" i="9"/>
  <c r="AG46" i="9"/>
  <c r="AF87" i="3"/>
  <c r="AF83" i="3"/>
  <c r="AF86" i="3"/>
  <c r="AF81" i="3"/>
  <c r="AF88" i="3" s="1"/>
  <c r="AF105" i="3" s="1"/>
  <c r="X17" i="14"/>
  <c r="AH14" i="9"/>
  <c r="AH51" i="9"/>
  <c r="AA50" i="9"/>
  <c r="AA52" i="9" s="1"/>
  <c r="AC76" i="9"/>
  <c r="O67" i="9"/>
  <c r="O71" i="9" s="1"/>
  <c r="O80" i="9" s="1"/>
  <c r="AJ15" i="3"/>
  <c r="AJ34" i="3"/>
  <c r="AK7" i="3"/>
  <c r="AK9" i="3" s="1"/>
  <c r="AG26" i="3"/>
  <c r="V25" i="9"/>
  <c r="W18" i="14"/>
  <c r="V33" i="9" s="1"/>
  <c r="V75" i="9" s="1"/>
  <c r="H82" i="9"/>
  <c r="H83" i="9" s="1"/>
  <c r="G5" i="9"/>
  <c r="G9" i="9" s="1"/>
  <c r="G22" i="9" s="1"/>
  <c r="G44" i="9" s="1"/>
  <c r="G45" i="9" s="1"/>
  <c r="G88" i="9"/>
  <c r="N61" i="9"/>
  <c r="BL59" i="9"/>
  <c r="Z50" i="9"/>
  <c r="BL114" i="3"/>
  <c r="AF57" i="3"/>
  <c r="AK14" i="14"/>
  <c r="AK12" i="14"/>
  <c r="AK13" i="14"/>
  <c r="AL11" i="14"/>
  <c r="AI35" i="3"/>
  <c r="AI36" i="3" s="1"/>
  <c r="AI16" i="3"/>
  <c r="AI17" i="3" s="1"/>
  <c r="AI18" i="3" s="1"/>
  <c r="AI64" i="3"/>
  <c r="AJ11" i="3"/>
  <c r="AJ13" i="3" s="1"/>
  <c r="AJ22" i="3" s="1"/>
  <c r="AH111" i="3"/>
  <c r="AJ15" i="14"/>
  <c r="AH36" i="14"/>
  <c r="AG33" i="14"/>
  <c r="AG103" i="3"/>
  <c r="AE35" i="14"/>
  <c r="P7" i="9"/>
  <c r="P56" i="9"/>
  <c r="P59" i="9" s="1"/>
  <c r="P61" i="9" s="1"/>
  <c r="P67" i="9" s="1"/>
  <c r="P71" i="9" s="1"/>
  <c r="P80" i="9" s="1"/>
  <c r="AI22" i="3"/>
  <c r="AG42" i="3"/>
  <c r="AG43" i="3"/>
  <c r="AH55" i="9"/>
  <c r="AE57" i="3"/>
  <c r="AI24" i="3" l="1"/>
  <c r="AI41" i="3" s="1"/>
  <c r="AI62" i="3"/>
  <c r="AI65" i="3" s="1"/>
  <c r="AJ39" i="3"/>
  <c r="AI95" i="3"/>
  <c r="AI100" i="3"/>
  <c r="AI99" i="3"/>
  <c r="AI96" i="3"/>
  <c r="AI101" i="3"/>
  <c r="AI78" i="3"/>
  <c r="AI94" i="3"/>
  <c r="AI97" i="3"/>
  <c r="AI93" i="3"/>
  <c r="AI137" i="3"/>
  <c r="AI98" i="3"/>
  <c r="AI102" i="3"/>
  <c r="AJ6" i="9"/>
  <c r="AK15" i="3"/>
  <c r="AK34" i="3"/>
  <c r="AL7" i="3"/>
  <c r="AL9" i="3" s="1"/>
  <c r="BM9" i="3"/>
  <c r="H46" i="17" s="1"/>
  <c r="J40" i="9"/>
  <c r="J42" i="9" s="1"/>
  <c r="K39" i="9"/>
  <c r="AJ55" i="9"/>
  <c r="AI51" i="9"/>
  <c r="AI14" i="9"/>
  <c r="AH41" i="3"/>
  <c r="AH26" i="3"/>
  <c r="AL14" i="14"/>
  <c r="AL13" i="14"/>
  <c r="AM11" i="14"/>
  <c r="AF107" i="3"/>
  <c r="AF112" i="3" s="1"/>
  <c r="AF130" i="3"/>
  <c r="Z52" i="9"/>
  <c r="BM52" i="9" s="1"/>
  <c r="BM50" i="9"/>
  <c r="V74" i="9"/>
  <c r="V78" i="9" s="1"/>
  <c r="V31" i="9"/>
  <c r="V36" i="9" s="1"/>
  <c r="W25" i="9"/>
  <c r="X18" i="14"/>
  <c r="W33" i="9" s="1"/>
  <c r="W75" i="9" s="1"/>
  <c r="AG64" i="9"/>
  <c r="AG65" i="9" s="1"/>
  <c r="AC112" i="3"/>
  <c r="AG85" i="3"/>
  <c r="AG84" i="3"/>
  <c r="AG82" i="3"/>
  <c r="AI32" i="14"/>
  <c r="AD76" i="9"/>
  <c r="Y17" i="14"/>
  <c r="AI111" i="3"/>
  <c r="AK15" i="14"/>
  <c r="AF55" i="3"/>
  <c r="I82" i="9"/>
  <c r="I83" i="9" s="1"/>
  <c r="H5" i="9"/>
  <c r="H9" i="9" s="1"/>
  <c r="H22" i="9" s="1"/>
  <c r="H44" i="9" s="1"/>
  <c r="H45" i="9" s="1"/>
  <c r="H88" i="9"/>
  <c r="AG48" i="3"/>
  <c r="AG46" i="3"/>
  <c r="AG51" i="3"/>
  <c r="AG50" i="3"/>
  <c r="AG52" i="3"/>
  <c r="AG47" i="3"/>
  <c r="AG49" i="3"/>
  <c r="AG58" i="3"/>
  <c r="AH15" i="9"/>
  <c r="AH46" i="9"/>
  <c r="AF123" i="3"/>
  <c r="AD113" i="3"/>
  <c r="AD114" i="3"/>
  <c r="AI36" i="14"/>
  <c r="AH33" i="14"/>
  <c r="AE138" i="3"/>
  <c r="AG81" i="3"/>
  <c r="AG86" i="3"/>
  <c r="AG83" i="3"/>
  <c r="AG123" i="3" s="1"/>
  <c r="AG87" i="3"/>
  <c r="AG34" i="14"/>
  <c r="AE38" i="9"/>
  <c r="AE107" i="3"/>
  <c r="AE112" i="3" s="1"/>
  <c r="AE130" i="3"/>
  <c r="Q7" i="9"/>
  <c r="Q56" i="9" s="1"/>
  <c r="Q59" i="9" s="1"/>
  <c r="Q61" i="9" s="1"/>
  <c r="AI26" i="3"/>
  <c r="AI39" i="3"/>
  <c r="AG35" i="14"/>
  <c r="AJ35" i="3"/>
  <c r="AJ36" i="3" s="1"/>
  <c r="AJ16" i="3"/>
  <c r="AJ17" i="3" s="1"/>
  <c r="AJ18" i="3" s="1"/>
  <c r="AJ64" i="3"/>
  <c r="AK11" i="3"/>
  <c r="AK13" i="3" s="1"/>
  <c r="AK22" i="3" s="1"/>
  <c r="AK16" i="14"/>
  <c r="BR114" i="3"/>
  <c r="E73" i="17"/>
  <c r="K73" i="17" s="1"/>
  <c r="N67" i="9"/>
  <c r="BL61" i="9"/>
  <c r="D77" i="17" s="1"/>
  <c r="AJ23" i="3"/>
  <c r="AJ40" i="3" s="1"/>
  <c r="AC138" i="3"/>
  <c r="AH19" i="3"/>
  <c r="AH79" i="3"/>
  <c r="AK39" i="3" l="1"/>
  <c r="BM22" i="3"/>
  <c r="AJ24" i="3"/>
  <c r="AJ41" i="3" s="1"/>
  <c r="AJ62" i="3"/>
  <c r="AJ65" i="3" s="1"/>
  <c r="AJ95" i="3"/>
  <c r="AJ100" i="3"/>
  <c r="AJ99" i="3"/>
  <c r="AJ96" i="3"/>
  <c r="AJ101" i="3"/>
  <c r="AJ78" i="3"/>
  <c r="AJ94" i="3"/>
  <c r="AJ97" i="3"/>
  <c r="AK6" i="9"/>
  <c r="AJ102" i="3"/>
  <c r="AJ137" i="3"/>
  <c r="AJ98" i="3"/>
  <c r="AJ93" i="3"/>
  <c r="Q67" i="9"/>
  <c r="Q71" i="9" s="1"/>
  <c r="Q80" i="9" s="1"/>
  <c r="AI49" i="3"/>
  <c r="AI50" i="3"/>
  <c r="AI47" i="3"/>
  <c r="AI48" i="3"/>
  <c r="AI51" i="3"/>
  <c r="AI46" i="3"/>
  <c r="AI52" i="3"/>
  <c r="AE113" i="3"/>
  <c r="AE114" i="3"/>
  <c r="AH64" i="9"/>
  <c r="AH65" i="9" s="1"/>
  <c r="AG53" i="3"/>
  <c r="J82" i="9"/>
  <c r="J83" i="9" s="1"/>
  <c r="I5" i="9"/>
  <c r="I9" i="9" s="1"/>
  <c r="I22" i="9" s="1"/>
  <c r="I44" i="9" s="1"/>
  <c r="I45" i="9" s="1"/>
  <c r="I88" i="9"/>
  <c r="AF113" i="3"/>
  <c r="AF114" i="3" s="1"/>
  <c r="Z17" i="14"/>
  <c r="AH49" i="3"/>
  <c r="AH50" i="3"/>
  <c r="AH47" i="3"/>
  <c r="AH48" i="3"/>
  <c r="AH51" i="3"/>
  <c r="AH46" i="3"/>
  <c r="AH52" i="3"/>
  <c r="AH58" i="3"/>
  <c r="AK23" i="3"/>
  <c r="AI58" i="3"/>
  <c r="AH85" i="3"/>
  <c r="AH84" i="3"/>
  <c r="AH82" i="3"/>
  <c r="AJ32" i="14"/>
  <c r="AE76" i="9"/>
  <c r="AC113" i="3"/>
  <c r="AC114" i="3"/>
  <c r="W74" i="9"/>
  <c r="W78" i="9" s="1"/>
  <c r="W31" i="9"/>
  <c r="W36" i="9" s="1"/>
  <c r="AM14" i="14"/>
  <c r="AN11" i="14"/>
  <c r="AM13" i="14"/>
  <c r="AH42" i="3"/>
  <c r="AH43" i="3" s="1"/>
  <c r="AL15" i="3"/>
  <c r="AL34" i="3"/>
  <c r="AL22" i="3"/>
  <c r="AM7" i="3"/>
  <c r="AM9" i="3" s="1"/>
  <c r="N71" i="9"/>
  <c r="BL67" i="9"/>
  <c r="R7" i="9"/>
  <c r="R56" i="9"/>
  <c r="R59" i="9" s="1"/>
  <c r="R61" i="9" s="1"/>
  <c r="R67" i="9" s="1"/>
  <c r="R71" i="9" s="1"/>
  <c r="R80" i="9" s="1"/>
  <c r="AH34" i="14"/>
  <c r="AF38" i="9"/>
  <c r="X25" i="9"/>
  <c r="Y18" i="14"/>
  <c r="X33" i="9" s="1"/>
  <c r="X75" i="9" s="1"/>
  <c r="AJ111" i="3"/>
  <c r="AL15" i="14"/>
  <c r="AI15" i="9"/>
  <c r="AI46" i="9"/>
  <c r="AK55" i="9"/>
  <c r="AI19" i="3"/>
  <c r="AI79" i="3"/>
  <c r="AJ42" i="3"/>
  <c r="AJ43" i="3"/>
  <c r="AK35" i="3"/>
  <c r="BM35" i="3" s="1"/>
  <c r="AK16" i="3"/>
  <c r="AK17" i="3" s="1"/>
  <c r="AK64" i="3"/>
  <c r="BM64" i="3" s="1"/>
  <c r="BM13" i="3"/>
  <c r="H47" i="17" s="1"/>
  <c r="AL11" i="3"/>
  <c r="AL13" i="3" s="1"/>
  <c r="AL23" i="3" s="1"/>
  <c r="AG88" i="3"/>
  <c r="AG105" i="3" s="1"/>
  <c r="AE50" i="9"/>
  <c r="AE52" i="9" s="1"/>
  <c r="AH81" i="3"/>
  <c r="AH83" i="3"/>
  <c r="AH123" i="3" s="1"/>
  <c r="AH86" i="3"/>
  <c r="AH87" i="3"/>
  <c r="AI42" i="3"/>
  <c r="AI43" i="3" s="1"/>
  <c r="AJ36" i="14"/>
  <c r="AI33" i="14"/>
  <c r="AL12" i="14"/>
  <c r="AL16" i="14" s="1"/>
  <c r="K40" i="9"/>
  <c r="K42" i="9" s="1"/>
  <c r="L39" i="9"/>
  <c r="AK36" i="3"/>
  <c r="BM34" i="3"/>
  <c r="AI103" i="3"/>
  <c r="AJ14" i="9"/>
  <c r="AJ51" i="9"/>
  <c r="AJ26" i="3"/>
  <c r="AJ58" i="3" s="1"/>
  <c r="AF138" i="3"/>
  <c r="AK18" i="3" l="1"/>
  <c r="BM17" i="3"/>
  <c r="AL40" i="3"/>
  <c r="AG50" i="9"/>
  <c r="AG52" i="9" s="1"/>
  <c r="AI85" i="3"/>
  <c r="AI84" i="3"/>
  <c r="AI82" i="3"/>
  <c r="AK32" i="14"/>
  <c r="AF76" i="9"/>
  <c r="AL39" i="3"/>
  <c r="AA17" i="14"/>
  <c r="AD50" i="9"/>
  <c r="AD52" i="9" s="1"/>
  <c r="AK40" i="3"/>
  <c r="BM40" i="3" s="1"/>
  <c r="BM23" i="3"/>
  <c r="AF50" i="9"/>
  <c r="AF52" i="9" s="1"/>
  <c r="AK51" i="9"/>
  <c r="AK14" i="9"/>
  <c r="F54" i="17"/>
  <c r="AG38" i="9"/>
  <c r="AI34" i="14"/>
  <c r="N80" i="9"/>
  <c r="BL80" i="9" s="1"/>
  <c r="D80" i="17" s="1"/>
  <c r="BL71" i="9"/>
  <c r="AK111" i="3"/>
  <c r="BM111" i="3" s="1"/>
  <c r="AM15" i="14"/>
  <c r="AH53" i="3"/>
  <c r="AH131" i="3" s="1"/>
  <c r="AK95" i="3"/>
  <c r="BM95" i="3" s="1"/>
  <c r="AK100" i="3"/>
  <c r="AK99" i="3"/>
  <c r="AK96" i="3"/>
  <c r="BM96" i="3" s="1"/>
  <c r="AK101" i="3"/>
  <c r="BM101" i="3" s="1"/>
  <c r="AK78" i="3"/>
  <c r="AK94" i="3"/>
  <c r="BM94" i="3" s="1"/>
  <c r="AK97" i="3"/>
  <c r="BM97" i="3" s="1"/>
  <c r="AK93" i="3"/>
  <c r="AK98" i="3"/>
  <c r="BM98" i="3" s="1"/>
  <c r="AK137" i="3"/>
  <c r="AL6" i="9"/>
  <c r="AL55" i="9" s="1"/>
  <c r="AK102" i="3"/>
  <c r="BM102" i="3" s="1"/>
  <c r="BM36" i="3"/>
  <c r="AN14" i="14"/>
  <c r="AN13" i="14"/>
  <c r="AO11" i="14"/>
  <c r="AK36" i="14"/>
  <c r="AJ33" i="14"/>
  <c r="K82" i="9"/>
  <c r="K83" i="9" s="1"/>
  <c r="J5" i="9"/>
  <c r="J9" i="9" s="1"/>
  <c r="J22" i="9" s="1"/>
  <c r="J44" i="9" s="1"/>
  <c r="J45" i="9" s="1"/>
  <c r="J88" i="9"/>
  <c r="BM39" i="3"/>
  <c r="BS39" i="3" s="1"/>
  <c r="AJ49" i="3"/>
  <c r="AJ50" i="3"/>
  <c r="AJ47" i="3"/>
  <c r="AJ48" i="3"/>
  <c r="AJ51" i="3"/>
  <c r="AJ46" i="3"/>
  <c r="AJ52" i="3"/>
  <c r="AI35" i="14"/>
  <c r="AJ15" i="9"/>
  <c r="AJ46" i="9"/>
  <c r="L40" i="9"/>
  <c r="L42" i="9" s="1"/>
  <c r="M39" i="9"/>
  <c r="AH88" i="3"/>
  <c r="AH105" i="3" s="1"/>
  <c r="AL35" i="3"/>
  <c r="AL36" i="3" s="1"/>
  <c r="AL16" i="3"/>
  <c r="AL17" i="3" s="1"/>
  <c r="AL18" i="3" s="1"/>
  <c r="AL64" i="3"/>
  <c r="AM11" i="3"/>
  <c r="AM13" i="3" s="1"/>
  <c r="F55" i="17"/>
  <c r="BS35" i="3"/>
  <c r="AI81" i="3"/>
  <c r="AI88" i="3" s="1"/>
  <c r="AI105" i="3" s="1"/>
  <c r="AI83" i="3"/>
  <c r="AI123" i="3" s="1"/>
  <c r="AI86" i="3"/>
  <c r="AI87" i="3"/>
  <c r="AI64" i="9"/>
  <c r="AI65" i="9" s="1"/>
  <c r="X74" i="9"/>
  <c r="X78" i="9" s="1"/>
  <c r="X31" i="9"/>
  <c r="X36" i="9" s="1"/>
  <c r="S7" i="9"/>
  <c r="AM15" i="3"/>
  <c r="AM34" i="3"/>
  <c r="AM22" i="3"/>
  <c r="AM23" i="3"/>
  <c r="AM40" i="3" s="1"/>
  <c r="AN7" i="3"/>
  <c r="AN9" i="3" s="1"/>
  <c r="AM12" i="14"/>
  <c r="AM16" i="14" s="1"/>
  <c r="AN12" i="14" s="1"/>
  <c r="AN16" i="14" s="1"/>
  <c r="Y25" i="9"/>
  <c r="Z18" i="14"/>
  <c r="Y33" i="9" s="1"/>
  <c r="Y75" i="9" s="1"/>
  <c r="AG131" i="3"/>
  <c r="AG55" i="3"/>
  <c r="AG138" i="3" s="1"/>
  <c r="AG57" i="3"/>
  <c r="AH35" i="14"/>
  <c r="AI53" i="3"/>
  <c r="AI131" i="3" s="1"/>
  <c r="AJ103" i="3"/>
  <c r="AJ19" i="3"/>
  <c r="AJ79" i="3"/>
  <c r="AL24" i="3" l="1"/>
  <c r="AL62" i="3"/>
  <c r="AL95" i="3"/>
  <c r="AL100" i="3"/>
  <c r="AL99" i="3"/>
  <c r="AL96" i="3"/>
  <c r="AL101" i="3"/>
  <c r="AL78" i="3"/>
  <c r="AL94" i="3"/>
  <c r="AL97" i="3"/>
  <c r="AM6" i="9"/>
  <c r="AL102" i="3"/>
  <c r="AL137" i="3"/>
  <c r="AL93" i="3"/>
  <c r="AL98" i="3"/>
  <c r="BN55" i="9"/>
  <c r="M40" i="9"/>
  <c r="M42" i="9" s="1"/>
  <c r="N39" i="9"/>
  <c r="BS97" i="3"/>
  <c r="BS96" i="3"/>
  <c r="BS95" i="3"/>
  <c r="AH38" i="9"/>
  <c r="AJ34" i="14"/>
  <c r="AL36" i="14"/>
  <c r="AK33" i="14"/>
  <c r="AH57" i="3"/>
  <c r="Y74" i="9"/>
  <c r="Y78" i="9" s="1"/>
  <c r="Y31" i="9"/>
  <c r="Y36" i="9" s="1"/>
  <c r="T7" i="9"/>
  <c r="T56" i="9"/>
  <c r="T59" i="9" s="1"/>
  <c r="T61" i="9" s="1"/>
  <c r="T67" i="9" s="1"/>
  <c r="T71" i="9" s="1"/>
  <c r="T80" i="9" s="1"/>
  <c r="AB17" i="14"/>
  <c r="BS69" i="3"/>
  <c r="BS73" i="3"/>
  <c r="BS72" i="3"/>
  <c r="BS67" i="3"/>
  <c r="BS68" i="3"/>
  <c r="F56" i="17"/>
  <c r="L54" i="17" s="1"/>
  <c r="BS36" i="3"/>
  <c r="BS70" i="3"/>
  <c r="BS74" i="3"/>
  <c r="BS71" i="3"/>
  <c r="BS77" i="3"/>
  <c r="BS63" i="3"/>
  <c r="BS98" i="3"/>
  <c r="BS94" i="3"/>
  <c r="AG76" i="9"/>
  <c r="BS34" i="3"/>
  <c r="Z25" i="9"/>
  <c r="AA18" i="14"/>
  <c r="Z33" i="9" s="1"/>
  <c r="AH55" i="3"/>
  <c r="AM39" i="3"/>
  <c r="AJ81" i="3"/>
  <c r="AJ83" i="3"/>
  <c r="AJ123" i="3" s="1"/>
  <c r="AJ86" i="3"/>
  <c r="AJ87" i="3"/>
  <c r="AN34" i="3"/>
  <c r="AO7" i="3"/>
  <c r="AO9" i="3" s="1"/>
  <c r="AN15" i="3"/>
  <c r="AJ53" i="3"/>
  <c r="AO14" i="14"/>
  <c r="AO13" i="14"/>
  <c r="AO12" i="14"/>
  <c r="AO16" i="14" s="1"/>
  <c r="AP11" i="14"/>
  <c r="BS102" i="3"/>
  <c r="AK19" i="3"/>
  <c r="AK79" i="3"/>
  <c r="BM78" i="3"/>
  <c r="BS78" i="3" s="1"/>
  <c r="BM99" i="3"/>
  <c r="BS99" i="3" s="1"/>
  <c r="BS40" i="3"/>
  <c r="AI57" i="3"/>
  <c r="AJ85" i="3"/>
  <c r="AJ84" i="3"/>
  <c r="AJ82" i="3"/>
  <c r="AL32" i="14"/>
  <c r="AG107" i="3"/>
  <c r="AG130" i="3"/>
  <c r="S56" i="9"/>
  <c r="S59" i="9" s="1"/>
  <c r="S61" i="9" s="1"/>
  <c r="AM35" i="3"/>
  <c r="AM36" i="3" s="1"/>
  <c r="AM16" i="3"/>
  <c r="AM17" i="3" s="1"/>
  <c r="AM18" i="3" s="1"/>
  <c r="AN11" i="3"/>
  <c r="AN13" i="3" s="1"/>
  <c r="AN23" i="3" s="1"/>
  <c r="AM64" i="3"/>
  <c r="AH138" i="3"/>
  <c r="AJ64" i="9"/>
  <c r="AJ65" i="9" s="1"/>
  <c r="L82" i="9"/>
  <c r="L83" i="9" s="1"/>
  <c r="K5" i="9"/>
  <c r="K9" i="9" s="1"/>
  <c r="K22" i="9" s="1"/>
  <c r="K44" i="9" s="1"/>
  <c r="K45" i="9" s="1"/>
  <c r="K88" i="9"/>
  <c r="AL111" i="3"/>
  <c r="AN15" i="14"/>
  <c r="BN6" i="9"/>
  <c r="AK103" i="3"/>
  <c r="BM93" i="3"/>
  <c r="BS93" i="3" s="1"/>
  <c r="BS101" i="3"/>
  <c r="AL14" i="9"/>
  <c r="AL51" i="9"/>
  <c r="BN51" i="9" s="1"/>
  <c r="BM100" i="3"/>
  <c r="BS100" i="3" s="1"/>
  <c r="BS111" i="3"/>
  <c r="F71" i="17"/>
  <c r="BS64" i="3"/>
  <c r="AK15" i="9"/>
  <c r="AK46" i="9"/>
  <c r="AI55" i="3"/>
  <c r="AI138" i="3" s="1"/>
  <c r="AK24" i="3"/>
  <c r="AK62" i="3"/>
  <c r="AM32" i="14"/>
  <c r="BM18" i="3"/>
  <c r="H48" i="17" s="1"/>
  <c r="AN40" i="3" l="1"/>
  <c r="AM24" i="3"/>
  <c r="AM62" i="3"/>
  <c r="AM65" i="3" s="1"/>
  <c r="AM95" i="3"/>
  <c r="AM100" i="3"/>
  <c r="AM99" i="3"/>
  <c r="AM96" i="3"/>
  <c r="AM101" i="3"/>
  <c r="AM78" i="3"/>
  <c r="AM94" i="3"/>
  <c r="AM97" i="3"/>
  <c r="AM93" i="3"/>
  <c r="AM98" i="3"/>
  <c r="AM102" i="3"/>
  <c r="AM137" i="3"/>
  <c r="AN6" i="9"/>
  <c r="S67" i="9"/>
  <c r="S71" i="9" s="1"/>
  <c r="S80" i="9" s="1"/>
  <c r="AM36" i="14"/>
  <c r="AL33" i="14"/>
  <c r="AI107" i="3"/>
  <c r="AI112" i="3" s="1"/>
  <c r="AI130" i="3"/>
  <c r="AK81" i="3"/>
  <c r="AK83" i="3"/>
  <c r="AK86" i="3"/>
  <c r="BM86" i="3" s="1"/>
  <c r="BS86" i="3" s="1"/>
  <c r="AK87" i="3"/>
  <c r="BM87" i="3" s="1"/>
  <c r="BS87" i="3" s="1"/>
  <c r="BM79" i="3"/>
  <c r="BS79" i="3" s="1"/>
  <c r="U7" i="9"/>
  <c r="U56" i="9"/>
  <c r="U59" i="9" s="1"/>
  <c r="U61" i="9" s="1"/>
  <c r="U67" i="9" s="1"/>
  <c r="U71" i="9" s="1"/>
  <c r="U80" i="9" s="1"/>
  <c r="AI38" i="9"/>
  <c r="AK34" i="14"/>
  <c r="AL65" i="3"/>
  <c r="AK64" i="9"/>
  <c r="AK65" i="9" s="1"/>
  <c r="AP14" i="14"/>
  <c r="AP13" i="14"/>
  <c r="AP12" i="14"/>
  <c r="AP16" i="14" s="1"/>
  <c r="AQ11" i="14"/>
  <c r="AJ88" i="3"/>
  <c r="AJ105" i="3" s="1"/>
  <c r="Z74" i="9"/>
  <c r="BM25" i="9"/>
  <c r="Z31" i="9"/>
  <c r="L56" i="17"/>
  <c r="AA25" i="9"/>
  <c r="AB18" i="14"/>
  <c r="AA33" i="9" s="1"/>
  <c r="AA75" i="9" s="1"/>
  <c r="AL103" i="3"/>
  <c r="M82" i="9"/>
  <c r="M83" i="9" s="1"/>
  <c r="L5" i="9"/>
  <c r="L9" i="9" s="1"/>
  <c r="L22" i="9" s="1"/>
  <c r="L44" i="9" s="1"/>
  <c r="L45" i="9" s="1"/>
  <c r="L88" i="9"/>
  <c r="AK65" i="3"/>
  <c r="BM65" i="3" s="1"/>
  <c r="BM62" i="3"/>
  <c r="BS62" i="3" s="1"/>
  <c r="L71" i="17"/>
  <c r="AL15" i="9"/>
  <c r="AL46" i="9"/>
  <c r="BN46" i="9" s="1"/>
  <c r="BN14" i="9"/>
  <c r="AN35" i="3"/>
  <c r="AN16" i="3"/>
  <c r="AN17" i="3" s="1"/>
  <c r="AN18" i="3" s="1"/>
  <c r="AN64" i="3"/>
  <c r="AO11" i="3"/>
  <c r="AO13" i="3" s="1"/>
  <c r="AK85" i="3"/>
  <c r="BM85" i="3" s="1"/>
  <c r="BS85" i="3" s="1"/>
  <c r="BM19" i="3"/>
  <c r="H49" i="17" s="1"/>
  <c r="AK84" i="3"/>
  <c r="BM84" i="3" s="1"/>
  <c r="BS84" i="3" s="1"/>
  <c r="AK82" i="3"/>
  <c r="BM82" i="3" s="1"/>
  <c r="BS82" i="3" s="1"/>
  <c r="AM111" i="3"/>
  <c r="AO15" i="14"/>
  <c r="L55" i="17"/>
  <c r="AO34" i="3"/>
  <c r="AO22" i="3"/>
  <c r="AP7" i="3"/>
  <c r="AP9" i="3" s="1"/>
  <c r="AO23" i="3"/>
  <c r="AO40" i="3" s="1"/>
  <c r="AO15" i="3"/>
  <c r="AH107" i="3"/>
  <c r="AH112" i="3" s="1"/>
  <c r="AH130" i="3"/>
  <c r="AH76" i="9"/>
  <c r="AJ35" i="14"/>
  <c r="AL41" i="3"/>
  <c r="AL26" i="3"/>
  <c r="AG112" i="3"/>
  <c r="AJ131" i="3"/>
  <c r="AJ57" i="3"/>
  <c r="AJ55" i="3"/>
  <c r="AN36" i="3"/>
  <c r="AN55" i="9"/>
  <c r="AM51" i="9"/>
  <c r="AM14" i="9"/>
  <c r="AM33" i="14"/>
  <c r="BM103" i="3"/>
  <c r="AK41" i="3"/>
  <c r="BM24" i="3"/>
  <c r="BM26" i="3" s="1"/>
  <c r="AK26" i="3"/>
  <c r="AM55" i="9"/>
  <c r="AC17" i="14"/>
  <c r="AN22" i="3"/>
  <c r="Z75" i="9"/>
  <c r="BM75" i="9" s="1"/>
  <c r="BM33" i="9"/>
  <c r="E90" i="17" s="1"/>
  <c r="AK35" i="14"/>
  <c r="BL39" i="9"/>
  <c r="D94" i="17" s="1"/>
  <c r="D95" i="17" s="1"/>
  <c r="D97" i="17" s="1"/>
  <c r="N40" i="9"/>
  <c r="O39" i="9"/>
  <c r="AL19" i="3"/>
  <c r="AL79" i="3"/>
  <c r="AN24" i="3" l="1"/>
  <c r="AN62" i="3"/>
  <c r="AN26" i="3"/>
  <c r="AN39" i="3"/>
  <c r="AK49" i="3"/>
  <c r="BM49" i="3" s="1"/>
  <c r="BS49" i="3" s="1"/>
  <c r="AK50" i="3"/>
  <c r="BM50" i="3" s="1"/>
  <c r="BS50" i="3" s="1"/>
  <c r="AK47" i="3"/>
  <c r="BM47" i="3" s="1"/>
  <c r="BS47" i="3" s="1"/>
  <c r="AK48" i="3"/>
  <c r="BM48" i="3" s="1"/>
  <c r="BS48" i="3" s="1"/>
  <c r="AK51" i="3"/>
  <c r="BM51" i="3" s="1"/>
  <c r="BS51" i="3" s="1"/>
  <c r="AK52" i="3"/>
  <c r="BM52" i="3" s="1"/>
  <c r="BS52" i="3" s="1"/>
  <c r="AK46" i="3"/>
  <c r="AK58" i="3"/>
  <c r="AM15" i="9"/>
  <c r="AM46" i="9"/>
  <c r="AN99" i="3"/>
  <c r="AN96" i="3"/>
  <c r="AN101" i="3"/>
  <c r="AN93" i="3"/>
  <c r="AN97" i="3"/>
  <c r="AN102" i="3"/>
  <c r="AN78" i="3"/>
  <c r="AN100" i="3"/>
  <c r="AN58" i="3"/>
  <c r="AO6" i="9"/>
  <c r="AN94" i="3"/>
  <c r="AN137" i="3"/>
  <c r="AN98" i="3"/>
  <c r="AN95" i="3"/>
  <c r="BS65" i="3"/>
  <c r="BM31" i="9"/>
  <c r="E89" i="17" s="1"/>
  <c r="E91" i="17" s="1"/>
  <c r="Z36" i="9"/>
  <c r="BM36" i="9" s="1"/>
  <c r="AD17" i="14"/>
  <c r="AJ38" i="9"/>
  <c r="AL34" i="14"/>
  <c r="AI113" i="3"/>
  <c r="AI114" i="3" s="1"/>
  <c r="BL40" i="9"/>
  <c r="N42" i="9"/>
  <c r="AL85" i="3"/>
  <c r="AL84" i="3"/>
  <c r="AL82" i="3"/>
  <c r="AN32" i="14"/>
  <c r="AB25" i="9"/>
  <c r="AC18" i="14"/>
  <c r="AB33" i="9" s="1"/>
  <c r="AB75" i="9" s="1"/>
  <c r="H50" i="17"/>
  <c r="BM58" i="3"/>
  <c r="AG113" i="3"/>
  <c r="AG114" i="3" s="1"/>
  <c r="AO35" i="3"/>
  <c r="AO36" i="3" s="1"/>
  <c r="AO16" i="3"/>
  <c r="AO17" i="3" s="1"/>
  <c r="AO18" i="3" s="1"/>
  <c r="AO64" i="3"/>
  <c r="AP11" i="3"/>
  <c r="AP13" i="3" s="1"/>
  <c r="AL64" i="9"/>
  <c r="BN15" i="9"/>
  <c r="F86" i="17" s="1"/>
  <c r="AA74" i="9"/>
  <c r="AA78" i="9" s="1"/>
  <c r="AA31" i="9"/>
  <c r="AA36" i="9" s="1"/>
  <c r="AQ14" i="14"/>
  <c r="AQ13" i="14"/>
  <c r="AR11" i="14"/>
  <c r="AQ12" i="14"/>
  <c r="AI76" i="9"/>
  <c r="BM83" i="3"/>
  <c r="BS83" i="3" s="1"/>
  <c r="AK123" i="3"/>
  <c r="AL35" i="14"/>
  <c r="BM41" i="3"/>
  <c r="BS41" i="3" s="1"/>
  <c r="AK42" i="3"/>
  <c r="BM42" i="3" s="1"/>
  <c r="BS42" i="3" s="1"/>
  <c r="AJ107" i="3"/>
  <c r="AJ112" i="3" s="1"/>
  <c r="AJ130" i="3"/>
  <c r="AL49" i="3"/>
  <c r="AL50" i="3"/>
  <c r="AL47" i="3"/>
  <c r="AL48" i="3"/>
  <c r="AL51" i="3"/>
  <c r="AL46" i="3"/>
  <c r="AL52" i="3"/>
  <c r="AL58" i="3"/>
  <c r="AP34" i="3"/>
  <c r="AP22" i="3"/>
  <c r="AQ7" i="3"/>
  <c r="AQ9" i="3" s="1"/>
  <c r="AP15" i="3"/>
  <c r="AP23" i="3"/>
  <c r="AP40" i="3" s="1"/>
  <c r="Z78" i="9"/>
  <c r="BM78" i="9" s="1"/>
  <c r="E79" i="17" s="1"/>
  <c r="BM74" i="9"/>
  <c r="AK88" i="3"/>
  <c r="BM81" i="3"/>
  <c r="BS81" i="3" s="1"/>
  <c r="AO55" i="9"/>
  <c r="AM19" i="3"/>
  <c r="AM79" i="3"/>
  <c r="AL81" i="3"/>
  <c r="AL83" i="3"/>
  <c r="AL86" i="3"/>
  <c r="AL87" i="3"/>
  <c r="O40" i="9"/>
  <c r="O42" i="9" s="1"/>
  <c r="P39" i="9"/>
  <c r="F68" i="17"/>
  <c r="L68" i="17" s="1"/>
  <c r="BS103" i="3"/>
  <c r="AL42" i="3"/>
  <c r="AL43" i="3" s="1"/>
  <c r="AH113" i="3"/>
  <c r="AH114" i="3"/>
  <c r="AO39" i="3"/>
  <c r="N82" i="9"/>
  <c r="M5" i="9"/>
  <c r="M9" i="9" s="1"/>
  <c r="M22" i="9" s="1"/>
  <c r="M44" i="9" s="1"/>
  <c r="M45" i="9" s="1"/>
  <c r="M88" i="9"/>
  <c r="AJ138" i="3"/>
  <c r="AN111" i="3"/>
  <c r="AP15" i="14"/>
  <c r="V7" i="9"/>
  <c r="V56" i="9" s="1"/>
  <c r="V59" i="9" s="1"/>
  <c r="V61" i="9" s="1"/>
  <c r="V67" i="9" s="1"/>
  <c r="V71" i="9" s="1"/>
  <c r="V80" i="9" s="1"/>
  <c r="AM103" i="3"/>
  <c r="AN51" i="9"/>
  <c r="AN14" i="9"/>
  <c r="AM41" i="3"/>
  <c r="AM26" i="3"/>
  <c r="AO62" i="3" l="1"/>
  <c r="AO65" i="3" s="1"/>
  <c r="AO24" i="3"/>
  <c r="AO99" i="3"/>
  <c r="AO96" i="3"/>
  <c r="AO101" i="3"/>
  <c r="AO93" i="3"/>
  <c r="AO97" i="3"/>
  <c r="AO102" i="3"/>
  <c r="AO95" i="3"/>
  <c r="AO98" i="3"/>
  <c r="AO78" i="3"/>
  <c r="AP6" i="9"/>
  <c r="AO100" i="3"/>
  <c r="AO94" i="3"/>
  <c r="AO137" i="3"/>
  <c r="AJ50" i="9"/>
  <c r="AJ52" i="9" s="1"/>
  <c r="AH50" i="9"/>
  <c r="AH52" i="9" s="1"/>
  <c r="AI50" i="9"/>
  <c r="AI52" i="9" s="1"/>
  <c r="P40" i="9"/>
  <c r="P42" i="9" s="1"/>
  <c r="Q39" i="9"/>
  <c r="AN15" i="9"/>
  <c r="AN46" i="9"/>
  <c r="AL88" i="3"/>
  <c r="AM85" i="3"/>
  <c r="AM84" i="3"/>
  <c r="AM82" i="3"/>
  <c r="AO32" i="14"/>
  <c r="AP39" i="3"/>
  <c r="AL53" i="3"/>
  <c r="AR14" i="14"/>
  <c r="AR13" i="14"/>
  <c r="AS11" i="14"/>
  <c r="AP35" i="3"/>
  <c r="AP36" i="3" s="1"/>
  <c r="AP16" i="3"/>
  <c r="AP64" i="3"/>
  <c r="AQ11" i="3"/>
  <c r="AQ13" i="3" s="1"/>
  <c r="AO36" i="14"/>
  <c r="AN33" i="14"/>
  <c r="AN36" i="14"/>
  <c r="BL42" i="9"/>
  <c r="AO14" i="9"/>
  <c r="AO51" i="9"/>
  <c r="AN103" i="3"/>
  <c r="AK53" i="3"/>
  <c r="BM46" i="3"/>
  <c r="BS46" i="3" s="1"/>
  <c r="AN65" i="3"/>
  <c r="AK43" i="3"/>
  <c r="AQ15" i="14"/>
  <c r="AO111" i="3"/>
  <c r="AK38" i="9"/>
  <c r="AM34" i="14"/>
  <c r="AN19" i="3"/>
  <c r="AN79" i="3"/>
  <c r="AN50" i="3"/>
  <c r="AN48" i="3"/>
  <c r="AN46" i="3"/>
  <c r="AN51" i="3"/>
  <c r="AN47" i="3"/>
  <c r="AN49" i="3"/>
  <c r="AN52" i="3"/>
  <c r="AN41" i="3"/>
  <c r="AE17" i="14"/>
  <c r="AJ76" i="9"/>
  <c r="AC25" i="9"/>
  <c r="AD18" i="14"/>
  <c r="AC33" i="9" s="1"/>
  <c r="AC75" i="9" s="1"/>
  <c r="AP55" i="9"/>
  <c r="AM64" i="9"/>
  <c r="AM65" i="9" s="1"/>
  <c r="AM49" i="3"/>
  <c r="AM50" i="3"/>
  <c r="AM47" i="3"/>
  <c r="AM48" i="3"/>
  <c r="AM51" i="3"/>
  <c r="AM46" i="3"/>
  <c r="AM52" i="3"/>
  <c r="AM58" i="3"/>
  <c r="AP17" i="3"/>
  <c r="AP18" i="3" s="1"/>
  <c r="AM42" i="3"/>
  <c r="AM43" i="3"/>
  <c r="W7" i="9"/>
  <c r="W56" i="9"/>
  <c r="W59" i="9" s="1"/>
  <c r="W61" i="9" s="1"/>
  <c r="W67" i="9" s="1"/>
  <c r="W71" i="9" s="1"/>
  <c r="W80" i="9" s="1"/>
  <c r="N83" i="9"/>
  <c r="BL82" i="9"/>
  <c r="D99" i="17" s="1"/>
  <c r="AL123" i="3"/>
  <c r="AM81" i="3"/>
  <c r="AM88" i="3" s="1"/>
  <c r="AM105" i="3" s="1"/>
  <c r="AM83" i="3"/>
  <c r="AM123" i="3" s="1"/>
  <c r="AM86" i="3"/>
  <c r="AM87" i="3"/>
  <c r="BM88" i="3"/>
  <c r="AK105" i="3"/>
  <c r="AQ34" i="3"/>
  <c r="AQ22" i="3"/>
  <c r="AR7" i="3"/>
  <c r="AR9" i="3" s="1"/>
  <c r="AQ23" i="3"/>
  <c r="AQ15" i="3"/>
  <c r="AJ113" i="3"/>
  <c r="AJ114" i="3" s="1"/>
  <c r="AQ16" i="14"/>
  <c r="AR12" i="14" s="1"/>
  <c r="AR16" i="14" s="1"/>
  <c r="AL65" i="9"/>
  <c r="BN65" i="9" s="1"/>
  <c r="F78" i="17" s="1"/>
  <c r="BN64" i="9"/>
  <c r="AB74" i="9"/>
  <c r="AB78" i="9" s="1"/>
  <c r="AB31" i="9"/>
  <c r="AB36" i="9" s="1"/>
  <c r="AK50" i="9" l="1"/>
  <c r="AK52" i="9" s="1"/>
  <c r="AP99" i="3"/>
  <c r="AP96" i="3"/>
  <c r="AP101" i="3"/>
  <c r="AP93" i="3"/>
  <c r="AP97" i="3"/>
  <c r="AP102" i="3"/>
  <c r="AP78" i="3"/>
  <c r="AP100" i="3"/>
  <c r="AQ6" i="9"/>
  <c r="AP94" i="3"/>
  <c r="AP98" i="3"/>
  <c r="AP137" i="3"/>
  <c r="AP95" i="3"/>
  <c r="AR34" i="3"/>
  <c r="AS7" i="3"/>
  <c r="AS9" i="3" s="1"/>
  <c r="AR15" i="3"/>
  <c r="BM105" i="3"/>
  <c r="BS105" i="3" s="1"/>
  <c r="X7" i="9"/>
  <c r="X56" i="9"/>
  <c r="X59" i="9" s="1"/>
  <c r="X61" i="9" s="1"/>
  <c r="X67" i="9" s="1"/>
  <c r="X71" i="9" s="1"/>
  <c r="X80" i="9" s="1"/>
  <c r="AP24" i="3"/>
  <c r="AP62" i="3"/>
  <c r="AM53" i="3"/>
  <c r="AM131" i="3" s="1"/>
  <c r="AO15" i="9"/>
  <c r="AO46" i="9"/>
  <c r="Q40" i="9"/>
  <c r="Q42" i="9" s="1"/>
  <c r="R39" i="9"/>
  <c r="AO103" i="3"/>
  <c r="AQ39" i="3"/>
  <c r="AD25" i="9"/>
  <c r="AE18" i="14"/>
  <c r="AD33" i="9" s="1"/>
  <c r="AD75" i="9" s="1"/>
  <c r="AN53" i="3"/>
  <c r="AL38" i="9"/>
  <c r="AN34" i="14"/>
  <c r="AN35" i="14" s="1"/>
  <c r="AM35" i="14"/>
  <c r="AK131" i="3"/>
  <c r="BM53" i="3"/>
  <c r="AR15" i="14"/>
  <c r="AP111" i="3"/>
  <c r="AO33" i="14"/>
  <c r="AP14" i="9"/>
  <c r="AP51" i="9"/>
  <c r="AO41" i="3"/>
  <c r="AO26" i="3"/>
  <c r="BS88" i="3"/>
  <c r="F67" i="17"/>
  <c r="L67" i="17" s="1"/>
  <c r="AM55" i="3"/>
  <c r="AM138" i="3" s="1"/>
  <c r="AM57" i="3"/>
  <c r="O82" i="9"/>
  <c r="O83" i="9" s="1"/>
  <c r="BL83" i="9"/>
  <c r="D100" i="17" s="1"/>
  <c r="D33" i="17" s="1"/>
  <c r="N5" i="9"/>
  <c r="N88" i="9"/>
  <c r="BL88" i="9" s="1"/>
  <c r="D34" i="17" s="1"/>
  <c r="AC74" i="9"/>
  <c r="AC78" i="9" s="1"/>
  <c r="AC31" i="9"/>
  <c r="AC36" i="9" s="1"/>
  <c r="AN83" i="3"/>
  <c r="AN86" i="3"/>
  <c r="AN87" i="3"/>
  <c r="AN81" i="3"/>
  <c r="AK76" i="9"/>
  <c r="AK55" i="3"/>
  <c r="BM55" i="3" s="1"/>
  <c r="BM43" i="3"/>
  <c r="AK57" i="3"/>
  <c r="AN42" i="3"/>
  <c r="AQ35" i="3"/>
  <c r="AQ36" i="3" s="1"/>
  <c r="AQ16" i="3"/>
  <c r="AQ17" i="3" s="1"/>
  <c r="AQ18" i="3" s="1"/>
  <c r="AQ64" i="3"/>
  <c r="AR11" i="3"/>
  <c r="AR13" i="3" s="1"/>
  <c r="AR22" i="3" s="1"/>
  <c r="AF17" i="14"/>
  <c r="AL131" i="3"/>
  <c r="AL105" i="3"/>
  <c r="AQ55" i="9"/>
  <c r="AL57" i="3"/>
  <c r="AQ40" i="3"/>
  <c r="AN85" i="3"/>
  <c r="AN84" i="3"/>
  <c r="AN82" i="3"/>
  <c r="AP32" i="14"/>
  <c r="AP36" i="14" s="1"/>
  <c r="AN43" i="3"/>
  <c r="AS14" i="14"/>
  <c r="AS13" i="14"/>
  <c r="AT11" i="14"/>
  <c r="AS12" i="14"/>
  <c r="AN64" i="9"/>
  <c r="AN65" i="9" s="1"/>
  <c r="AO19" i="3"/>
  <c r="AO79" i="3"/>
  <c r="AL55" i="3"/>
  <c r="AQ99" i="3" l="1"/>
  <c r="AQ96" i="3"/>
  <c r="AQ101" i="3"/>
  <c r="AQ93" i="3"/>
  <c r="AQ97" i="3"/>
  <c r="AQ102" i="3"/>
  <c r="AQ95" i="3"/>
  <c r="AQ98" i="3"/>
  <c r="AQ137" i="3"/>
  <c r="AQ94" i="3"/>
  <c r="AQ78" i="3"/>
  <c r="AR6" i="9"/>
  <c r="AQ100" i="3"/>
  <c r="AR39" i="3"/>
  <c r="AQ62" i="3"/>
  <c r="AQ65" i="3" s="1"/>
  <c r="AQ24" i="3"/>
  <c r="AO83" i="3"/>
  <c r="AO86" i="3"/>
  <c r="AO87" i="3"/>
  <c r="AO81" i="3"/>
  <c r="AS15" i="14"/>
  <c r="AQ111" i="3"/>
  <c r="AL138" i="3"/>
  <c r="AE25" i="9"/>
  <c r="AF18" i="14"/>
  <c r="AE33" i="9" s="1"/>
  <c r="AE75" i="9" s="1"/>
  <c r="BS43" i="3"/>
  <c r="F60" i="17"/>
  <c r="L60" i="17" s="1"/>
  <c r="AN123" i="3"/>
  <c r="BL5" i="9"/>
  <c r="D84" i="17" s="1"/>
  <c r="D87" i="17" s="1"/>
  <c r="N9" i="9"/>
  <c r="AP41" i="3"/>
  <c r="AP26" i="3"/>
  <c r="AS34" i="3"/>
  <c r="AT7" i="3"/>
  <c r="AT9" i="3" s="1"/>
  <c r="AS15" i="3"/>
  <c r="AG17" i="14"/>
  <c r="F62" i="17"/>
  <c r="L62" i="17" s="1"/>
  <c r="BS55" i="3"/>
  <c r="AN88" i="3"/>
  <c r="AM107" i="3"/>
  <c r="AM112" i="3" s="1"/>
  <c r="AM130" i="3"/>
  <c r="AP46" i="9"/>
  <c r="AP15" i="9"/>
  <c r="AM38" i="9"/>
  <c r="AO34" i="14"/>
  <c r="AD74" i="9"/>
  <c r="AD78" i="9" s="1"/>
  <c r="AD31" i="9"/>
  <c r="AD36" i="9" s="1"/>
  <c r="AK138" i="3"/>
  <c r="AR55" i="9"/>
  <c r="AN55" i="3"/>
  <c r="AN57" i="3"/>
  <c r="AL107" i="3"/>
  <c r="AL130" i="3"/>
  <c r="AR35" i="3"/>
  <c r="AR16" i="3"/>
  <c r="AR64" i="3"/>
  <c r="AS11" i="3"/>
  <c r="AS13" i="3" s="1"/>
  <c r="AS22" i="3" s="1"/>
  <c r="P82" i="9"/>
  <c r="P83" i="9" s="1"/>
  <c r="O5" i="9"/>
  <c r="O9" i="9" s="1"/>
  <c r="O22" i="9" s="1"/>
  <c r="O44" i="9" s="1"/>
  <c r="O88" i="9"/>
  <c r="AO50" i="3"/>
  <c r="AO48" i="3"/>
  <c r="AO46" i="3"/>
  <c r="AO51" i="3"/>
  <c r="AO49" i="3"/>
  <c r="AO52" i="3"/>
  <c r="AO47" i="3"/>
  <c r="AO58" i="3"/>
  <c r="F61" i="17"/>
  <c r="L61" i="17" s="1"/>
  <c r="BS53" i="3"/>
  <c r="AL76" i="9"/>
  <c r="BN76" i="9" s="1"/>
  <c r="BN38" i="9"/>
  <c r="F93" i="17" s="1"/>
  <c r="R40" i="9"/>
  <c r="R42" i="9" s="1"/>
  <c r="S39" i="9"/>
  <c r="AO64" i="9"/>
  <c r="AO65" i="9" s="1"/>
  <c r="AR17" i="3"/>
  <c r="AR18" i="3" s="1"/>
  <c r="AR36" i="3"/>
  <c r="AQ14" i="9"/>
  <c r="AQ51" i="9"/>
  <c r="AP103" i="3"/>
  <c r="AO84" i="3"/>
  <c r="AO85" i="3"/>
  <c r="AO82" i="3"/>
  <c r="AQ32" i="14"/>
  <c r="AS16" i="14"/>
  <c r="AT14" i="14"/>
  <c r="AT13" i="14"/>
  <c r="AT12" i="14"/>
  <c r="AU11" i="14"/>
  <c r="AP33" i="14"/>
  <c r="AK107" i="3"/>
  <c r="AK130" i="3"/>
  <c r="BM57" i="3"/>
  <c r="AO42" i="3"/>
  <c r="AO43" i="3" s="1"/>
  <c r="AN131" i="3"/>
  <c r="AP65" i="3"/>
  <c r="Y7" i="9"/>
  <c r="AR23" i="3"/>
  <c r="AR40" i="3" s="1"/>
  <c r="AP19" i="3"/>
  <c r="AP79" i="3"/>
  <c r="AO57" i="3" l="1"/>
  <c r="AS39" i="3"/>
  <c r="Z7" i="9"/>
  <c r="F64" i="17"/>
  <c r="BS57" i="3"/>
  <c r="AQ33" i="14"/>
  <c r="AR24" i="3"/>
  <c r="AR62" i="3"/>
  <c r="AN107" i="3"/>
  <c r="AN112" i="3" s="1"/>
  <c r="AN130" i="3"/>
  <c r="AN105" i="3"/>
  <c r="BL9" i="9"/>
  <c r="N22" i="9"/>
  <c r="AE74" i="9"/>
  <c r="AE78" i="9" s="1"/>
  <c r="AE31" i="9"/>
  <c r="AE36" i="9" s="1"/>
  <c r="AH17" i="14"/>
  <c r="AU13" i="14"/>
  <c r="AU14" i="14"/>
  <c r="AV11" i="14"/>
  <c r="AQ15" i="9"/>
  <c r="AQ46" i="9"/>
  <c r="AO53" i="3"/>
  <c r="AO55" i="3" s="1"/>
  <c r="AL112" i="3"/>
  <c r="AN38" i="9"/>
  <c r="AP34" i="14"/>
  <c r="AF25" i="9"/>
  <c r="AG18" i="14"/>
  <c r="AF33" i="9" s="1"/>
  <c r="AF75" i="9" s="1"/>
  <c r="AP42" i="3"/>
  <c r="AP43" i="3" s="1"/>
  <c r="AO88" i="3"/>
  <c r="AO105" i="3" s="1"/>
  <c r="AR14" i="9"/>
  <c r="AR51" i="9"/>
  <c r="AP85" i="3"/>
  <c r="AP84" i="3"/>
  <c r="AP82" i="3"/>
  <c r="AR32" i="14"/>
  <c r="AP35" i="14"/>
  <c r="AS35" i="3"/>
  <c r="AS16" i="3"/>
  <c r="AS64" i="3"/>
  <c r="AT11" i="3"/>
  <c r="AT13" i="3" s="1"/>
  <c r="AT22" i="3" s="1"/>
  <c r="AP50" i="3"/>
  <c r="AP48" i="3"/>
  <c r="AP46" i="3"/>
  <c r="AP51" i="3"/>
  <c r="AP47" i="3"/>
  <c r="AP52" i="3"/>
  <c r="AP49" i="3"/>
  <c r="AP58" i="3"/>
  <c r="AQ103" i="3"/>
  <c r="AQ36" i="14"/>
  <c r="AK112" i="3"/>
  <c r="BM107" i="3"/>
  <c r="AP83" i="3"/>
  <c r="AP86" i="3"/>
  <c r="AP87" i="3"/>
  <c r="AP81" i="3"/>
  <c r="Y56" i="9"/>
  <c r="Y59" i="9" s="1"/>
  <c r="Y61" i="9" s="1"/>
  <c r="Y67" i="9" s="1"/>
  <c r="Y71" i="9" s="1"/>
  <c r="Y80" i="9" s="1"/>
  <c r="AT16" i="14"/>
  <c r="AR99" i="3"/>
  <c r="AR96" i="3"/>
  <c r="AR101" i="3"/>
  <c r="AR93" i="3"/>
  <c r="AR97" i="3"/>
  <c r="AR102" i="3"/>
  <c r="AR78" i="3"/>
  <c r="AR100" i="3"/>
  <c r="AS6" i="9"/>
  <c r="AR94" i="3"/>
  <c r="AR95" i="3"/>
  <c r="AR137" i="3"/>
  <c r="AR98" i="3"/>
  <c r="S40" i="9"/>
  <c r="S42" i="9" s="1"/>
  <c r="T39" i="9"/>
  <c r="Q82" i="9"/>
  <c r="Q83" i="9" s="1"/>
  <c r="P88" i="9"/>
  <c r="P5" i="9"/>
  <c r="P9" i="9" s="1"/>
  <c r="P22" i="9" s="1"/>
  <c r="P44" i="9" s="1"/>
  <c r="P45" i="9" s="1"/>
  <c r="AM76" i="9"/>
  <c r="AM113" i="3"/>
  <c r="AM114" i="3" s="1"/>
  <c r="AS17" i="3"/>
  <c r="AS18" i="3" s="1"/>
  <c r="AS36" i="3"/>
  <c r="AO35" i="14"/>
  <c r="AS55" i="9"/>
  <c r="AT15" i="14"/>
  <c r="AR111" i="3"/>
  <c r="AP64" i="9"/>
  <c r="AP65" i="9" s="1"/>
  <c r="AS23" i="3"/>
  <c r="AS40" i="3" s="1"/>
  <c r="AQ19" i="3"/>
  <c r="AQ79" i="3"/>
  <c r="AT34" i="3"/>
  <c r="AU7" i="3"/>
  <c r="AU9" i="3" s="1"/>
  <c r="AT23" i="3"/>
  <c r="AT40" i="3" s="1"/>
  <c r="AT15" i="3"/>
  <c r="AO123" i="3"/>
  <c r="AQ41" i="3"/>
  <c r="AQ26" i="3"/>
  <c r="AN50" i="9" l="1"/>
  <c r="AN52" i="9" s="1"/>
  <c r="AT39" i="3"/>
  <c r="AQ50" i="3"/>
  <c r="AQ48" i="3"/>
  <c r="AQ46" i="3"/>
  <c r="AQ51" i="3"/>
  <c r="AQ49" i="3"/>
  <c r="AQ52" i="3"/>
  <c r="AQ47" i="3"/>
  <c r="AQ58" i="3"/>
  <c r="F69" i="17"/>
  <c r="L69" i="17" s="1"/>
  <c r="BS107" i="3"/>
  <c r="AV13" i="14"/>
  <c r="AV12" i="14"/>
  <c r="AV16" i="14" s="1"/>
  <c r="AW11" i="14"/>
  <c r="AV14" i="14"/>
  <c r="BL22" i="9"/>
  <c r="N44" i="9"/>
  <c r="AR41" i="3"/>
  <c r="AR26" i="3"/>
  <c r="AO107" i="3"/>
  <c r="AO130" i="3"/>
  <c r="AQ42" i="3"/>
  <c r="AQ43" i="3" s="1"/>
  <c r="AU34" i="3"/>
  <c r="AV7" i="3"/>
  <c r="AV9" i="3" s="1"/>
  <c r="AU15" i="3"/>
  <c r="AS62" i="3"/>
  <c r="AS65" i="3" s="1"/>
  <c r="AS24" i="3"/>
  <c r="AS41" i="3" s="1"/>
  <c r="AK113" i="3"/>
  <c r="BM113" i="3" s="1"/>
  <c r="F72" i="17" s="1"/>
  <c r="L72" i="17" s="1"/>
  <c r="AK114" i="3"/>
  <c r="BM112" i="3"/>
  <c r="BS112" i="3" s="1"/>
  <c r="AP53" i="3"/>
  <c r="AP131" i="3" s="1"/>
  <c r="AQ34" i="14"/>
  <c r="AO38" i="9"/>
  <c r="AI17" i="14"/>
  <c r="AN113" i="3"/>
  <c r="AN114" i="3"/>
  <c r="L64" i="17"/>
  <c r="AS42" i="3"/>
  <c r="AS43" i="3" s="1"/>
  <c r="AS99" i="3"/>
  <c r="AS96" i="3"/>
  <c r="AS101" i="3"/>
  <c r="AS93" i="3"/>
  <c r="AS97" i="3"/>
  <c r="AS102" i="3"/>
  <c r="AS95" i="3"/>
  <c r="AS137" i="3"/>
  <c r="AS98" i="3"/>
  <c r="AT6" i="9"/>
  <c r="AS100" i="3"/>
  <c r="AS78" i="3"/>
  <c r="AS94" i="3"/>
  <c r="R82" i="9"/>
  <c r="R83" i="9" s="1"/>
  <c r="Q5" i="9"/>
  <c r="Q9" i="9" s="1"/>
  <c r="Q22" i="9" s="1"/>
  <c r="Q44" i="9" s="1"/>
  <c r="Q45" i="9" s="1"/>
  <c r="Q88" i="9"/>
  <c r="AR19" i="3"/>
  <c r="AR79" i="3"/>
  <c r="AP88" i="3"/>
  <c r="AP105" i="3" s="1"/>
  <c r="AO138" i="3"/>
  <c r="AF74" i="9"/>
  <c r="AF78" i="9" s="1"/>
  <c r="AF31" i="9"/>
  <c r="AF36" i="9" s="1"/>
  <c r="AL113" i="3"/>
  <c r="AL114" i="3"/>
  <c r="AG25" i="9"/>
  <c r="AH18" i="14"/>
  <c r="AG33" i="9" s="1"/>
  <c r="AG75" i="9" s="1"/>
  <c r="AR33" i="14"/>
  <c r="AN76" i="9"/>
  <c r="AQ64" i="9"/>
  <c r="AQ65" i="9" s="1"/>
  <c r="AU15" i="14"/>
  <c r="AS111" i="3"/>
  <c r="AQ35" i="14"/>
  <c r="AA7" i="9"/>
  <c r="BM7" i="9"/>
  <c r="E85" i="17" s="1"/>
  <c r="AS26" i="3"/>
  <c r="AQ84" i="3"/>
  <c r="AQ85" i="3"/>
  <c r="AQ82" i="3"/>
  <c r="AS32" i="14"/>
  <c r="AT35" i="3"/>
  <c r="AT16" i="3"/>
  <c r="AT17" i="3" s="1"/>
  <c r="AT18" i="3" s="1"/>
  <c r="AT64" i="3"/>
  <c r="AU11" i="3"/>
  <c r="AU13" i="3" s="1"/>
  <c r="AT36" i="3"/>
  <c r="AQ83" i="3"/>
  <c r="AQ123" i="3" s="1"/>
  <c r="AQ86" i="3"/>
  <c r="AQ87" i="3"/>
  <c r="AQ81" i="3"/>
  <c r="T40" i="9"/>
  <c r="T42" i="9" s="1"/>
  <c r="U39" i="9"/>
  <c r="AS14" i="9"/>
  <c r="AS51" i="9"/>
  <c r="AR103" i="3"/>
  <c r="AP123" i="3"/>
  <c r="AR46" i="9"/>
  <c r="AR15" i="9"/>
  <c r="AO131" i="3"/>
  <c r="AU12" i="14"/>
  <c r="AU16" i="14" s="1"/>
  <c r="AN138" i="3"/>
  <c r="AR65" i="3"/>
  <c r="AR36" i="14"/>
  <c r="Z56" i="9"/>
  <c r="AT24" i="3" l="1"/>
  <c r="AT62" i="3"/>
  <c r="AU35" i="3"/>
  <c r="AU16" i="3"/>
  <c r="AU64" i="3"/>
  <c r="AV11" i="3"/>
  <c r="AV13" i="3" s="1"/>
  <c r="AB7" i="9"/>
  <c r="AR83" i="3"/>
  <c r="AR86" i="3"/>
  <c r="AR87" i="3"/>
  <c r="AR81" i="3"/>
  <c r="AS33" i="14"/>
  <c r="AM50" i="9"/>
  <c r="AM52" i="9" s="1"/>
  <c r="AU23" i="3"/>
  <c r="AU40" i="3" s="1"/>
  <c r="AS15" i="9"/>
  <c r="AS46" i="9"/>
  <c r="AQ88" i="3"/>
  <c r="AT99" i="3"/>
  <c r="AT96" i="3"/>
  <c r="AT101" i="3"/>
  <c r="AT93" i="3"/>
  <c r="AT97" i="3"/>
  <c r="AT102" i="3"/>
  <c r="AT78" i="3"/>
  <c r="AT100" i="3"/>
  <c r="AT137" i="3"/>
  <c r="AU6" i="9"/>
  <c r="AT94" i="3"/>
  <c r="AT98" i="3"/>
  <c r="AT95" i="3"/>
  <c r="AS19" i="3"/>
  <c r="AS79" i="3"/>
  <c r="AV34" i="3"/>
  <c r="AV22" i="3"/>
  <c r="AW7" i="3"/>
  <c r="AW9" i="3" s="1"/>
  <c r="AV23" i="3"/>
  <c r="AV40" i="3" s="1"/>
  <c r="AV15" i="3"/>
  <c r="AR50" i="3"/>
  <c r="AR48" i="3"/>
  <c r="AR46" i="3"/>
  <c r="AR51" i="3"/>
  <c r="AR47" i="3"/>
  <c r="AR49" i="3"/>
  <c r="AR52" i="3"/>
  <c r="AR58" i="3"/>
  <c r="AV15" i="14"/>
  <c r="AT111" i="3"/>
  <c r="BM56" i="9"/>
  <c r="Z59" i="9"/>
  <c r="S82" i="9"/>
  <c r="S83" i="9" s="1"/>
  <c r="R5" i="9"/>
  <c r="R9" i="9" s="1"/>
  <c r="R22" i="9" s="1"/>
  <c r="R44" i="9" s="1"/>
  <c r="R45" i="9" s="1"/>
  <c r="R88" i="9"/>
  <c r="AR64" i="9"/>
  <c r="AR65" i="9" s="1"/>
  <c r="AS50" i="3"/>
  <c r="AS48" i="3"/>
  <c r="AS46" i="3"/>
  <c r="AS51" i="3"/>
  <c r="AS49" i="3"/>
  <c r="AS52" i="3"/>
  <c r="AS47" i="3"/>
  <c r="AT55" i="9"/>
  <c r="AR85" i="3"/>
  <c r="AR84" i="3"/>
  <c r="AR82" i="3"/>
  <c r="AT32" i="14"/>
  <c r="AT36" i="14" s="1"/>
  <c r="AS58" i="3"/>
  <c r="AO50" i="9"/>
  <c r="AO52" i="9" s="1"/>
  <c r="AH25" i="9"/>
  <c r="AI18" i="14"/>
  <c r="AH33" i="9" s="1"/>
  <c r="AH75" i="9" s="1"/>
  <c r="AO112" i="3"/>
  <c r="N45" i="9"/>
  <c r="BL45" i="9" s="1"/>
  <c r="BL44" i="9"/>
  <c r="O45" i="9"/>
  <c r="U40" i="9"/>
  <c r="U42" i="9" s="1"/>
  <c r="V39" i="9"/>
  <c r="AA56" i="9"/>
  <c r="AA59" i="9" s="1"/>
  <c r="AA61" i="9" s="1"/>
  <c r="AS36" i="14"/>
  <c r="AG74" i="9"/>
  <c r="AG78" i="9" s="1"/>
  <c r="AG31" i="9"/>
  <c r="AG36" i="9" s="1"/>
  <c r="AT14" i="9"/>
  <c r="AT51" i="9"/>
  <c r="AS103" i="3"/>
  <c r="AO76" i="9"/>
  <c r="AL50" i="9"/>
  <c r="BM114" i="3"/>
  <c r="AU22" i="3"/>
  <c r="AJ17" i="14"/>
  <c r="AQ53" i="3"/>
  <c r="AQ131" i="3" s="1"/>
  <c r="AP57" i="3"/>
  <c r="AR34" i="14"/>
  <c r="AR35" i="14" s="1"/>
  <c r="AP38" i="9"/>
  <c r="AU17" i="3"/>
  <c r="AU18" i="3" s="1"/>
  <c r="AU36" i="3"/>
  <c r="AR42" i="3"/>
  <c r="AR43" i="3" s="1"/>
  <c r="AW13" i="14"/>
  <c r="AW14" i="14"/>
  <c r="AX11" i="14"/>
  <c r="AW12" i="14"/>
  <c r="AP55" i="3"/>
  <c r="AW16" i="14" l="1"/>
  <c r="AP76" i="9"/>
  <c r="AU39" i="3"/>
  <c r="AO113" i="3"/>
  <c r="AO114" i="3"/>
  <c r="AR53" i="3"/>
  <c r="AR131" i="3" s="1"/>
  <c r="AS83" i="3"/>
  <c r="AS123" i="3" s="1"/>
  <c r="AS86" i="3"/>
  <c r="AS87" i="3"/>
  <c r="AS81" i="3"/>
  <c r="AT19" i="3"/>
  <c r="AT79" i="3"/>
  <c r="AQ105" i="3"/>
  <c r="AC7" i="9"/>
  <c r="AQ55" i="3"/>
  <c r="AX13" i="14"/>
  <c r="AX12" i="14"/>
  <c r="AY11" i="14"/>
  <c r="AX14" i="14"/>
  <c r="AS34" i="14"/>
  <c r="AQ38" i="9"/>
  <c r="AI25" i="9"/>
  <c r="AJ18" i="14"/>
  <c r="AI33" i="9" s="1"/>
  <c r="AI75" i="9" s="1"/>
  <c r="BS114" i="3"/>
  <c r="F73" i="17"/>
  <c r="L73" i="17" s="1"/>
  <c r="AT46" i="9"/>
  <c r="AT15" i="9"/>
  <c r="Z61" i="9"/>
  <c r="BM59" i="9"/>
  <c r="AW34" i="3"/>
  <c r="AX7" i="3"/>
  <c r="AX9" i="3" s="1"/>
  <c r="AW15" i="3"/>
  <c r="BN9" i="3"/>
  <c r="I46" i="17" s="1"/>
  <c r="AS84" i="3"/>
  <c r="AS85" i="3"/>
  <c r="AS82" i="3"/>
  <c r="AU32" i="14"/>
  <c r="AV35" i="3"/>
  <c r="AV36" i="3" s="1"/>
  <c r="AV16" i="3"/>
  <c r="AV64" i="3"/>
  <c r="AW11" i="3"/>
  <c r="AW13" i="3" s="1"/>
  <c r="AT65" i="3"/>
  <c r="AK17" i="14"/>
  <c r="AU99" i="3"/>
  <c r="AU96" i="3"/>
  <c r="AU101" i="3"/>
  <c r="AU93" i="3"/>
  <c r="AU97" i="3"/>
  <c r="AU102" i="3"/>
  <c r="AU95" i="3"/>
  <c r="AU98" i="3"/>
  <c r="AU137" i="3"/>
  <c r="AV6" i="9"/>
  <c r="AU100" i="3"/>
  <c r="AU78" i="3"/>
  <c r="AU94" i="3"/>
  <c r="AP107" i="3"/>
  <c r="AP130" i="3"/>
  <c r="AP138" i="3"/>
  <c r="AA67" i="9"/>
  <c r="AA71" i="9" s="1"/>
  <c r="AA80" i="9" s="1"/>
  <c r="AH74" i="9"/>
  <c r="AH78" i="9" s="1"/>
  <c r="AH31" i="9"/>
  <c r="AH36" i="9" s="1"/>
  <c r="AT33" i="14"/>
  <c r="AV39" i="3"/>
  <c r="AS64" i="9"/>
  <c r="AS65" i="9" s="1"/>
  <c r="AU55" i="9"/>
  <c r="AR123" i="3"/>
  <c r="AT41" i="3"/>
  <c r="AT26" i="3"/>
  <c r="AW15" i="14"/>
  <c r="AU111" i="3"/>
  <c r="AU62" i="3"/>
  <c r="AU65" i="3" s="1"/>
  <c r="AU24" i="3"/>
  <c r="AU41" i="3" s="1"/>
  <c r="AL52" i="9"/>
  <c r="BN52" i="9" s="1"/>
  <c r="BN50" i="9"/>
  <c r="V40" i="9"/>
  <c r="V42" i="9" s="1"/>
  <c r="W39" i="9"/>
  <c r="AS53" i="3"/>
  <c r="T82" i="9"/>
  <c r="T83" i="9" s="1"/>
  <c r="S88" i="9"/>
  <c r="S5" i="9"/>
  <c r="S9" i="9" s="1"/>
  <c r="S22" i="9" s="1"/>
  <c r="S44" i="9" s="1"/>
  <c r="S45" i="9" s="1"/>
  <c r="AV17" i="3"/>
  <c r="AV18" i="3" s="1"/>
  <c r="AU14" i="9"/>
  <c r="AU51" i="9"/>
  <c r="AT103" i="3"/>
  <c r="AR88" i="3"/>
  <c r="AR105" i="3" s="1"/>
  <c r="AB56" i="9"/>
  <c r="AB59" i="9" s="1"/>
  <c r="AB61" i="9" s="1"/>
  <c r="AB67" i="9" s="1"/>
  <c r="AB71" i="9" s="1"/>
  <c r="AB80" i="9" s="1"/>
  <c r="AQ57" i="3"/>
  <c r="AV99" i="3" l="1"/>
  <c r="AV96" i="3"/>
  <c r="AV101" i="3"/>
  <c r="AV93" i="3"/>
  <c r="AV97" i="3"/>
  <c r="AV102" i="3"/>
  <c r="AV78" i="3"/>
  <c r="AV100" i="3"/>
  <c r="AV137" i="3"/>
  <c r="AW6" i="9"/>
  <c r="AV94" i="3"/>
  <c r="AV98" i="3"/>
  <c r="AV95" i="3"/>
  <c r="AU19" i="3"/>
  <c r="AU79" i="3"/>
  <c r="AX34" i="3"/>
  <c r="AY7" i="3"/>
  <c r="AY9" i="3" s="1"/>
  <c r="AX22" i="3"/>
  <c r="AX15" i="3"/>
  <c r="AT34" i="14"/>
  <c r="AR38" i="9"/>
  <c r="AW35" i="3"/>
  <c r="BN35" i="3" s="1"/>
  <c r="AW16" i="3"/>
  <c r="AW64" i="3"/>
  <c r="BN64" i="3" s="1"/>
  <c r="AX11" i="3"/>
  <c r="AX13" i="3" s="1"/>
  <c r="AX23" i="3" s="1"/>
  <c r="BN13" i="3"/>
  <c r="I47" i="17" s="1"/>
  <c r="AW22" i="3"/>
  <c r="AT64" i="9"/>
  <c r="AT65" i="9" s="1"/>
  <c r="AS35" i="14"/>
  <c r="AU42" i="3"/>
  <c r="AU43" i="3" s="1"/>
  <c r="AS131" i="3"/>
  <c r="AS55" i="3"/>
  <c r="AS57" i="3"/>
  <c r="AT50" i="3"/>
  <c r="AT48" i="3"/>
  <c r="AT46" i="3"/>
  <c r="AT51" i="3"/>
  <c r="AT47" i="3"/>
  <c r="AT49" i="3"/>
  <c r="AT52" i="3"/>
  <c r="AT58" i="3"/>
  <c r="Z67" i="9"/>
  <c r="BM61" i="9"/>
  <c r="E77" i="17" s="1"/>
  <c r="AD56" i="9"/>
  <c r="AD59" i="9" s="1"/>
  <c r="AD61" i="9" s="1"/>
  <c r="AD67" i="9" s="1"/>
  <c r="AD71" i="9" s="1"/>
  <c r="AD80" i="9" s="1"/>
  <c r="AD7" i="9"/>
  <c r="AV14" i="9"/>
  <c r="AV51" i="9"/>
  <c r="AL17" i="14"/>
  <c r="AT85" i="3"/>
  <c r="AT84" i="3"/>
  <c r="AT82" i="3"/>
  <c r="AV32" i="14"/>
  <c r="AU15" i="9"/>
  <c r="AU46" i="9"/>
  <c r="AT35" i="14"/>
  <c r="AP112" i="3"/>
  <c r="AW55" i="9"/>
  <c r="AW17" i="3"/>
  <c r="AW36" i="3"/>
  <c r="BN34" i="3"/>
  <c r="AI74" i="9"/>
  <c r="AI78" i="9" s="1"/>
  <c r="AI31" i="9"/>
  <c r="AI36" i="9" s="1"/>
  <c r="AY13" i="14"/>
  <c r="AZ11" i="14"/>
  <c r="AY14" i="14"/>
  <c r="AV55" i="9"/>
  <c r="AP50" i="9"/>
  <c r="AP52" i="9" s="1"/>
  <c r="AU26" i="3"/>
  <c r="AR57" i="3"/>
  <c r="AV24" i="3"/>
  <c r="AV62" i="3"/>
  <c r="AV65" i="3" s="1"/>
  <c r="AV111" i="3"/>
  <c r="AX15" i="14"/>
  <c r="AT83" i="3"/>
  <c r="AT86" i="3"/>
  <c r="AT87" i="3"/>
  <c r="AT81" i="3"/>
  <c r="W40" i="9"/>
  <c r="W42" i="9" s="1"/>
  <c r="X39" i="9"/>
  <c r="AT42" i="3"/>
  <c r="AT43" i="3" s="1"/>
  <c r="AU103" i="3"/>
  <c r="AJ25" i="9"/>
  <c r="AK18" i="14"/>
  <c r="AJ33" i="9" s="1"/>
  <c r="AJ75" i="9" s="1"/>
  <c r="AV36" i="14"/>
  <c r="AU33" i="14"/>
  <c r="AQ107" i="3"/>
  <c r="AQ112" i="3" s="1"/>
  <c r="AQ130" i="3"/>
  <c r="U82" i="9"/>
  <c r="U83" i="9" s="1"/>
  <c r="T88" i="9"/>
  <c r="T5" i="9"/>
  <c r="T9" i="9" s="1"/>
  <c r="T22" i="9" s="1"/>
  <c r="T44" i="9" s="1"/>
  <c r="T45" i="9" s="1"/>
  <c r="AU36" i="14"/>
  <c r="AW23" i="3"/>
  <c r="AQ76" i="9"/>
  <c r="AX16" i="14"/>
  <c r="AY12" i="14" s="1"/>
  <c r="AY16" i="14" s="1"/>
  <c r="AC56" i="9"/>
  <c r="AC59" i="9" s="1"/>
  <c r="AC61" i="9" s="1"/>
  <c r="AC67" i="9" s="1"/>
  <c r="AC71" i="9" s="1"/>
  <c r="AC80" i="9" s="1"/>
  <c r="AQ138" i="3"/>
  <c r="AS88" i="3"/>
  <c r="AS105" i="3" s="1"/>
  <c r="AS138" i="3" s="1"/>
  <c r="AR55" i="3"/>
  <c r="AR138" i="3" s="1"/>
  <c r="AX40" i="3" l="1"/>
  <c r="AW111" i="3"/>
  <c r="BN111" i="3" s="1"/>
  <c r="AY15" i="14"/>
  <c r="AW99" i="3"/>
  <c r="AW96" i="3"/>
  <c r="BN96" i="3" s="1"/>
  <c r="AW101" i="3"/>
  <c r="BN101" i="3" s="1"/>
  <c r="AW93" i="3"/>
  <c r="AW97" i="3"/>
  <c r="BN97" i="3" s="1"/>
  <c r="AW102" i="3"/>
  <c r="BN102" i="3" s="1"/>
  <c r="BT102" i="3" s="1"/>
  <c r="AW95" i="3"/>
  <c r="BN95" i="3" s="1"/>
  <c r="AW98" i="3"/>
  <c r="BN98" i="3" s="1"/>
  <c r="AW78" i="3"/>
  <c r="AW137" i="3"/>
  <c r="AX6" i="9"/>
  <c r="AW100" i="3"/>
  <c r="AW94" i="3"/>
  <c r="BN94" i="3" s="1"/>
  <c r="BT94" i="3" s="1"/>
  <c r="BN36" i="3"/>
  <c r="AT53" i="3"/>
  <c r="AT131" i="3" s="1"/>
  <c r="BT64" i="3"/>
  <c r="AR76" i="9"/>
  <c r="AX39" i="3"/>
  <c r="AU84" i="3"/>
  <c r="AU85" i="3"/>
  <c r="AU82" i="3"/>
  <c r="AW32" i="14"/>
  <c r="AV19" i="3"/>
  <c r="AV79" i="3"/>
  <c r="AV41" i="3"/>
  <c r="AV26" i="3"/>
  <c r="AQ113" i="3"/>
  <c r="AQ114" i="3"/>
  <c r="AJ31" i="9"/>
  <c r="AJ36" i="9" s="1"/>
  <c r="AJ74" i="9"/>
  <c r="AJ78" i="9" s="1"/>
  <c r="X40" i="9"/>
  <c r="X42" i="9" s="1"/>
  <c r="Y39" i="9"/>
  <c r="AW18" i="3"/>
  <c r="BN17" i="3"/>
  <c r="AU64" i="9"/>
  <c r="AU65" i="9" s="1"/>
  <c r="AW39" i="3"/>
  <c r="BN22" i="3"/>
  <c r="AU34" i="14"/>
  <c r="AS38" i="9"/>
  <c r="AY34" i="3"/>
  <c r="AZ7" i="3"/>
  <c r="AZ9" i="3" s="1"/>
  <c r="AY15" i="3"/>
  <c r="AX55" i="9"/>
  <c r="AW40" i="3"/>
  <c r="BN40" i="3" s="1"/>
  <c r="BT40" i="3" s="1"/>
  <c r="BN23" i="3"/>
  <c r="V82" i="9"/>
  <c r="V83" i="9" s="1"/>
  <c r="U5" i="9"/>
  <c r="U9" i="9" s="1"/>
  <c r="U22" i="9" s="1"/>
  <c r="U44" i="9" s="1"/>
  <c r="U45" i="9" s="1"/>
  <c r="U88" i="9"/>
  <c r="AU35" i="14"/>
  <c r="AT123" i="3"/>
  <c r="AR107" i="3"/>
  <c r="AR112" i="3" s="1"/>
  <c r="AR130" i="3"/>
  <c r="AM17" i="14"/>
  <c r="AP113" i="3"/>
  <c r="AP114" i="3"/>
  <c r="AW36" i="14"/>
  <c r="AV33" i="14"/>
  <c r="AK25" i="9"/>
  <c r="AL18" i="14"/>
  <c r="AK33" i="9" s="1"/>
  <c r="AK75" i="9" s="1"/>
  <c r="AV46" i="9"/>
  <c r="AV15" i="9"/>
  <c r="Z71" i="9"/>
  <c r="BM67" i="9"/>
  <c r="BT35" i="3"/>
  <c r="G55" i="17"/>
  <c r="AT88" i="3"/>
  <c r="AT105" i="3" s="1"/>
  <c r="AU50" i="3"/>
  <c r="AU48" i="3"/>
  <c r="AU46" i="3"/>
  <c r="AU51" i="3"/>
  <c r="AU49" i="3"/>
  <c r="AU52" i="3"/>
  <c r="AU47" i="3"/>
  <c r="AU58" i="3"/>
  <c r="AZ13" i="14"/>
  <c r="AZ12" i="14"/>
  <c r="BA11" i="14"/>
  <c r="AZ14" i="14"/>
  <c r="BT34" i="3"/>
  <c r="G54" i="17"/>
  <c r="AE7" i="9"/>
  <c r="AE56" i="9" s="1"/>
  <c r="AE59" i="9" s="1"/>
  <c r="AE61" i="9" s="1"/>
  <c r="AS107" i="3"/>
  <c r="AS112" i="3" s="1"/>
  <c r="AS130" i="3"/>
  <c r="AX35" i="3"/>
  <c r="AX36" i="3" s="1"/>
  <c r="AX16" i="3"/>
  <c r="AY11" i="3"/>
  <c r="AY13" i="3" s="1"/>
  <c r="AY22" i="3" s="1"/>
  <c r="AX64" i="3"/>
  <c r="AX17" i="3"/>
  <c r="AX18" i="3" s="1"/>
  <c r="AU83" i="3"/>
  <c r="AU123" i="3" s="1"/>
  <c r="AU86" i="3"/>
  <c r="AU87" i="3"/>
  <c r="AU81" i="3"/>
  <c r="AU88" i="3" s="1"/>
  <c r="AU105" i="3" s="1"/>
  <c r="AW14" i="9"/>
  <c r="AW51" i="9"/>
  <c r="AV103" i="3"/>
  <c r="AE67" i="9" l="1"/>
  <c r="AE71" i="9" s="1"/>
  <c r="AE80" i="9" s="1"/>
  <c r="AX99" i="3"/>
  <c r="AX96" i="3"/>
  <c r="AX101" i="3"/>
  <c r="AX93" i="3"/>
  <c r="AX97" i="3"/>
  <c r="AX102" i="3"/>
  <c r="AX78" i="3"/>
  <c r="AX100" i="3"/>
  <c r="AX137" i="3"/>
  <c r="AY6" i="9"/>
  <c r="AX94" i="3"/>
  <c r="AX95" i="3"/>
  <c r="AX98" i="3"/>
  <c r="AY39" i="3"/>
  <c r="AX111" i="3"/>
  <c r="AZ15" i="14"/>
  <c r="BO55" i="9"/>
  <c r="AY23" i="3"/>
  <c r="AV43" i="3"/>
  <c r="AV42" i="3"/>
  <c r="BT96" i="3"/>
  <c r="G71" i="17"/>
  <c r="BT111" i="3"/>
  <c r="AS113" i="3"/>
  <c r="AS114" i="3" s="1"/>
  <c r="AN17" i="14"/>
  <c r="Z80" i="9"/>
  <c r="BM80" i="9" s="1"/>
  <c r="E80" i="17" s="1"/>
  <c r="BM71" i="9"/>
  <c r="AK74" i="9"/>
  <c r="AK78" i="9" s="1"/>
  <c r="AK31" i="9"/>
  <c r="AK36" i="9" s="1"/>
  <c r="AQ50" i="9"/>
  <c r="AQ52" i="9" s="1"/>
  <c r="AL25" i="9"/>
  <c r="AM18" i="14"/>
  <c r="AL33" i="9" s="1"/>
  <c r="AR113" i="3"/>
  <c r="AR114" i="3" s="1"/>
  <c r="W82" i="9"/>
  <c r="W83" i="9" s="1"/>
  <c r="V5" i="9"/>
  <c r="V9" i="9" s="1"/>
  <c r="V22" i="9" s="1"/>
  <c r="V44" i="9" s="1"/>
  <c r="V45" i="9" s="1"/>
  <c r="V88" i="9"/>
  <c r="BN39" i="3"/>
  <c r="BT39" i="3" s="1"/>
  <c r="Y40" i="9"/>
  <c r="Y42" i="9" s="1"/>
  <c r="Z39" i="9"/>
  <c r="AR50" i="9"/>
  <c r="AR52" i="9" s="1"/>
  <c r="AV83" i="3"/>
  <c r="AV86" i="3"/>
  <c r="AV87" i="3"/>
  <c r="AV81" i="3"/>
  <c r="AW19" i="3"/>
  <c r="AW79" i="3"/>
  <c r="BN78" i="3"/>
  <c r="BT78" i="3" s="1"/>
  <c r="BT97" i="3"/>
  <c r="AY64" i="3"/>
  <c r="AY35" i="3"/>
  <c r="AY16" i="3"/>
  <c r="AY17" i="3" s="1"/>
  <c r="AY18" i="3" s="1"/>
  <c r="AZ11" i="3"/>
  <c r="AZ13" i="3" s="1"/>
  <c r="AW15" i="9"/>
  <c r="AW46" i="9"/>
  <c r="BA13" i="14"/>
  <c r="BA14" i="14"/>
  <c r="BB11" i="14"/>
  <c r="AV64" i="9"/>
  <c r="AV65" i="9" s="1"/>
  <c r="AZ23" i="3"/>
  <c r="AZ40" i="3" s="1"/>
  <c r="AZ15" i="3"/>
  <c r="AZ34" i="3"/>
  <c r="AZ22" i="3"/>
  <c r="BA7" i="3"/>
  <c r="BA9" i="3" s="1"/>
  <c r="AS76" i="9"/>
  <c r="AV85" i="3"/>
  <c r="AV84" i="3"/>
  <c r="AV82" i="3"/>
  <c r="AX32" i="14"/>
  <c r="AX14" i="9"/>
  <c r="AX51" i="9"/>
  <c r="BO51" i="9" s="1"/>
  <c r="BN100" i="3"/>
  <c r="BT100" i="3" s="1"/>
  <c r="BT98" i="3"/>
  <c r="AW103" i="3"/>
  <c r="BN93" i="3"/>
  <c r="BT93" i="3" s="1"/>
  <c r="BN99" i="3"/>
  <c r="BT99" i="3" s="1"/>
  <c r="AT57" i="3"/>
  <c r="AX24" i="3"/>
  <c r="AX62" i="3"/>
  <c r="AF7" i="9"/>
  <c r="AF56" i="9" s="1"/>
  <c r="AF59" i="9" s="1"/>
  <c r="AF61" i="9" s="1"/>
  <c r="AZ16" i="14"/>
  <c r="AU53" i="3"/>
  <c r="AY36" i="3"/>
  <c r="AV34" i="14"/>
  <c r="AT38" i="9"/>
  <c r="AW62" i="3"/>
  <c r="AY32" i="14"/>
  <c r="BN18" i="3"/>
  <c r="I48" i="17" s="1"/>
  <c r="AW24" i="3"/>
  <c r="AV50" i="3"/>
  <c r="AV48" i="3"/>
  <c r="AV46" i="3"/>
  <c r="AV51" i="3"/>
  <c r="AV47" i="3"/>
  <c r="AV49" i="3"/>
  <c r="AV52" i="3"/>
  <c r="AV58" i="3"/>
  <c r="AX36" i="14"/>
  <c r="AW33" i="14"/>
  <c r="BT67" i="3"/>
  <c r="G56" i="17"/>
  <c r="M54" i="17" s="1"/>
  <c r="BT71" i="3"/>
  <c r="BT68" i="3"/>
  <c r="BT72" i="3"/>
  <c r="BT36" i="3"/>
  <c r="BT69" i="3"/>
  <c r="BT73" i="3"/>
  <c r="BT74" i="3"/>
  <c r="BT70" i="3"/>
  <c r="BT77" i="3"/>
  <c r="BT63" i="3"/>
  <c r="BO6" i="9"/>
  <c r="AY55" i="9"/>
  <c r="BT95" i="3"/>
  <c r="BT101" i="3"/>
  <c r="AT55" i="3"/>
  <c r="AT138" i="3" s="1"/>
  <c r="AF67" i="9" l="1"/>
  <c r="AF71" i="9" s="1"/>
  <c r="AF80" i="9" s="1"/>
  <c r="AS50" i="9"/>
  <c r="AS52" i="9" s="1"/>
  <c r="AY24" i="3"/>
  <c r="AY41" i="3" s="1"/>
  <c r="AY62" i="3"/>
  <c r="AY65" i="3" s="1"/>
  <c r="AT50" i="9"/>
  <c r="AT52" i="9" s="1"/>
  <c r="AT76" i="9"/>
  <c r="AU131" i="3"/>
  <c r="AU57" i="3"/>
  <c r="AU55" i="3"/>
  <c r="AU138" i="3" s="1"/>
  <c r="AX41" i="3"/>
  <c r="AX26" i="3"/>
  <c r="AV53" i="3"/>
  <c r="AV131" i="3" s="1"/>
  <c r="AW34" i="14"/>
  <c r="AU38" i="9"/>
  <c r="AT107" i="3"/>
  <c r="AT112" i="3" s="1"/>
  <c r="AT130" i="3"/>
  <c r="AV35" i="14"/>
  <c r="BA12" i="14"/>
  <c r="BA16" i="14" s="1"/>
  <c r="AW64" i="9"/>
  <c r="AW65" i="9" s="1"/>
  <c r="AW83" i="3"/>
  <c r="AW86" i="3"/>
  <c r="BN86" i="3" s="1"/>
  <c r="BT86" i="3" s="1"/>
  <c r="AW87" i="3"/>
  <c r="BN87" i="3" s="1"/>
  <c r="BT87" i="3" s="1"/>
  <c r="AW81" i="3"/>
  <c r="BN79" i="3"/>
  <c r="BT79" i="3" s="1"/>
  <c r="BM39" i="9"/>
  <c r="E94" i="17" s="1"/>
  <c r="E95" i="17" s="1"/>
  <c r="E97" i="17" s="1"/>
  <c r="Z40" i="9"/>
  <c r="AA39" i="9"/>
  <c r="AL75" i="9"/>
  <c r="BN75" i="9" s="1"/>
  <c r="BN33" i="9"/>
  <c r="F90" i="17" s="1"/>
  <c r="AY14" i="9"/>
  <c r="AY51" i="9"/>
  <c r="AX103" i="3"/>
  <c r="AW35" i="14"/>
  <c r="AY33" i="14"/>
  <c r="AY93" i="3"/>
  <c r="AY97" i="3"/>
  <c r="AY102" i="3"/>
  <c r="AZ6" i="9"/>
  <c r="AY78" i="3"/>
  <c r="AY94" i="3"/>
  <c r="AY98" i="3"/>
  <c r="AY100" i="3"/>
  <c r="AY101" i="3"/>
  <c r="AY137" i="3"/>
  <c r="AY99" i="3"/>
  <c r="AY95" i="3"/>
  <c r="AY96" i="3"/>
  <c r="AX65" i="3"/>
  <c r="BN103" i="3"/>
  <c r="BO14" i="9"/>
  <c r="AX15" i="9"/>
  <c r="AX46" i="9"/>
  <c r="BO46" i="9" s="1"/>
  <c r="BA15" i="3"/>
  <c r="BA34" i="3"/>
  <c r="BB7" i="3"/>
  <c r="BB9" i="3" s="1"/>
  <c r="BA22" i="3"/>
  <c r="AY111" i="3"/>
  <c r="BA15" i="14"/>
  <c r="AZ35" i="3"/>
  <c r="AZ16" i="3"/>
  <c r="AZ17" i="3" s="1"/>
  <c r="AZ18" i="3" s="1"/>
  <c r="AZ64" i="3"/>
  <c r="BA11" i="3"/>
  <c r="BA13" i="3" s="1"/>
  <c r="AW84" i="3"/>
  <c r="BN84" i="3" s="1"/>
  <c r="BT84" i="3" s="1"/>
  <c r="BN19" i="3"/>
  <c r="I49" i="17" s="1"/>
  <c r="AW85" i="3"/>
  <c r="BN85" i="3" s="1"/>
  <c r="BT85" i="3" s="1"/>
  <c r="AW82" i="3"/>
  <c r="BN82" i="3" s="1"/>
  <c r="BT82" i="3" s="1"/>
  <c r="AV123" i="3"/>
  <c r="X82" i="9"/>
  <c r="X83" i="9" s="1"/>
  <c r="W88" i="9"/>
  <c r="W5" i="9"/>
  <c r="W9" i="9" s="1"/>
  <c r="W22" i="9" s="1"/>
  <c r="W44" i="9" s="1"/>
  <c r="W45" i="9" s="1"/>
  <c r="AL31" i="9"/>
  <c r="BN25" i="9"/>
  <c r="AL74" i="9"/>
  <c r="AV55" i="3"/>
  <c r="AV57" i="3"/>
  <c r="AX19" i="3"/>
  <c r="AX79" i="3"/>
  <c r="AW65" i="3"/>
  <c r="BN65" i="3" s="1"/>
  <c r="BN62" i="3"/>
  <c r="BT62" i="3" s="1"/>
  <c r="AY36" i="14"/>
  <c r="AX33" i="14"/>
  <c r="AZ39" i="3"/>
  <c r="BB13" i="14"/>
  <c r="BB12" i="14"/>
  <c r="BB16" i="14" s="1"/>
  <c r="BC11" i="14"/>
  <c r="BB14" i="14"/>
  <c r="AV88" i="3"/>
  <c r="AV105" i="3" s="1"/>
  <c r="AM25" i="9"/>
  <c r="AN18" i="14"/>
  <c r="AM33" i="9" s="1"/>
  <c r="AM75" i="9" s="1"/>
  <c r="AZ55" i="9"/>
  <c r="M56" i="17"/>
  <c r="AW41" i="3"/>
  <c r="BN24" i="3"/>
  <c r="BN26" i="3" s="1"/>
  <c r="AW26" i="3"/>
  <c r="AG7" i="9"/>
  <c r="M55" i="17"/>
  <c r="AO17" i="14"/>
  <c r="M71" i="17"/>
  <c r="AY40" i="3"/>
  <c r="AZ24" i="3" l="1"/>
  <c r="AZ62" i="3"/>
  <c r="AH7" i="9"/>
  <c r="AM74" i="9"/>
  <c r="AM78" i="9" s="1"/>
  <c r="AM31" i="9"/>
  <c r="AM36" i="9" s="1"/>
  <c r="AX85" i="3"/>
  <c r="AX84" i="3"/>
  <c r="AX82" i="3"/>
  <c r="AZ32" i="14"/>
  <c r="BA39" i="3"/>
  <c r="AX42" i="3"/>
  <c r="AW50" i="3"/>
  <c r="BN50" i="3" s="1"/>
  <c r="BT50" i="3" s="1"/>
  <c r="AW48" i="3"/>
  <c r="BN48" i="3" s="1"/>
  <c r="BT48" i="3" s="1"/>
  <c r="AW46" i="3"/>
  <c r="AW51" i="3"/>
  <c r="BN51" i="3" s="1"/>
  <c r="BT51" i="3" s="1"/>
  <c r="AW49" i="3"/>
  <c r="BN49" i="3" s="1"/>
  <c r="BT49" i="3" s="1"/>
  <c r="AW52" i="3"/>
  <c r="BN52" i="3" s="1"/>
  <c r="BT52" i="3" s="1"/>
  <c r="AW47" i="3"/>
  <c r="BN47" i="3" s="1"/>
  <c r="BT47" i="3" s="1"/>
  <c r="AW58" i="3"/>
  <c r="AV138" i="3"/>
  <c r="BA35" i="3"/>
  <c r="BA16" i="3"/>
  <c r="BB11" i="3"/>
  <c r="BB13" i="3" s="1"/>
  <c r="BA64" i="3"/>
  <c r="BB34" i="3"/>
  <c r="BC7" i="3"/>
  <c r="BC9" i="3" s="1"/>
  <c r="BB22" i="3"/>
  <c r="BB15" i="3"/>
  <c r="AX64" i="9"/>
  <c r="BO15" i="9"/>
  <c r="G86" i="17" s="1"/>
  <c r="AY79" i="3"/>
  <c r="AY19" i="3"/>
  <c r="AY103" i="3"/>
  <c r="BN83" i="3"/>
  <c r="BT83" i="3" s="1"/>
  <c r="AW123" i="3"/>
  <c r="AT113" i="3"/>
  <c r="AT114" i="3" s="1"/>
  <c r="AX34" i="14"/>
  <c r="AV38" i="9"/>
  <c r="AY42" i="3"/>
  <c r="AY43" i="3" s="1"/>
  <c r="AN25" i="9"/>
  <c r="AO18" i="14"/>
  <c r="AN33" i="9" s="1"/>
  <c r="AN75" i="9" s="1"/>
  <c r="AZ36" i="3"/>
  <c r="AP17" i="14"/>
  <c r="Y82" i="9"/>
  <c r="Y83" i="9" s="1"/>
  <c r="X88" i="9"/>
  <c r="X5" i="9"/>
  <c r="X9" i="9" s="1"/>
  <c r="X22" i="9" s="1"/>
  <c r="X44" i="9" s="1"/>
  <c r="X45" i="9" s="1"/>
  <c r="BA36" i="3"/>
  <c r="AZ14" i="9"/>
  <c r="AZ51" i="9"/>
  <c r="AA40" i="9"/>
  <c r="AA42" i="9" s="1"/>
  <c r="AB39" i="9"/>
  <c r="AW88" i="3"/>
  <c r="BN81" i="3"/>
  <c r="BT81" i="3" s="1"/>
  <c r="AX50" i="3"/>
  <c r="AX48" i="3"/>
  <c r="AX46" i="3"/>
  <c r="AX51" i="3"/>
  <c r="AX47" i="3"/>
  <c r="AX52" i="3"/>
  <c r="AX49" i="3"/>
  <c r="AX58" i="3"/>
  <c r="AU107" i="3"/>
  <c r="AU112" i="3" s="1"/>
  <c r="AU130" i="3"/>
  <c r="AZ111" i="3"/>
  <c r="BB15" i="14"/>
  <c r="AL78" i="9"/>
  <c r="BN78" i="9" s="1"/>
  <c r="F79" i="17" s="1"/>
  <c r="BN74" i="9"/>
  <c r="I50" i="17"/>
  <c r="BN58" i="3"/>
  <c r="AG56" i="9"/>
  <c r="AG59" i="9" s="1"/>
  <c r="AG61" i="9" s="1"/>
  <c r="AG67" i="9" s="1"/>
  <c r="AG71" i="9" s="1"/>
  <c r="AG80" i="9" s="1"/>
  <c r="BN41" i="3"/>
  <c r="BT41" i="3" s="1"/>
  <c r="AW42" i="3"/>
  <c r="BN42" i="3" s="1"/>
  <c r="BT42" i="3" s="1"/>
  <c r="BC14" i="14"/>
  <c r="BC13" i="14"/>
  <c r="BC12" i="14"/>
  <c r="BC16" i="14" s="1"/>
  <c r="BD11" i="14"/>
  <c r="BT65" i="3"/>
  <c r="AX83" i="3"/>
  <c r="AX86" i="3"/>
  <c r="AX87" i="3"/>
  <c r="AX81" i="3"/>
  <c r="AV107" i="3"/>
  <c r="AV112" i="3" s="1"/>
  <c r="AV130" i="3"/>
  <c r="BN31" i="9"/>
  <c r="F89" i="17" s="1"/>
  <c r="F91" i="17" s="1"/>
  <c r="AL36" i="9"/>
  <c r="BN36" i="9" s="1"/>
  <c r="BA23" i="3"/>
  <c r="BA17" i="3"/>
  <c r="BA18" i="3" s="1"/>
  <c r="G68" i="17"/>
  <c r="M68" i="17" s="1"/>
  <c r="BT103" i="3"/>
  <c r="AY15" i="9"/>
  <c r="AY46" i="9"/>
  <c r="Z42" i="9"/>
  <c r="BM40" i="9"/>
  <c r="AU76" i="9"/>
  <c r="AY26" i="3"/>
  <c r="AU50" i="9" l="1"/>
  <c r="AU52" i="9" s="1"/>
  <c r="BD13" i="14"/>
  <c r="BD12" i="14"/>
  <c r="BD14" i="14"/>
  <c r="BE11" i="14"/>
  <c r="AB40" i="9"/>
  <c r="AB42" i="9" s="1"/>
  <c r="AC39" i="9"/>
  <c r="BA95" i="3"/>
  <c r="BA100" i="3"/>
  <c r="BA99" i="3"/>
  <c r="BA96" i="3"/>
  <c r="BA101" i="3"/>
  <c r="BA78" i="3"/>
  <c r="BA94" i="3"/>
  <c r="BA97" i="3"/>
  <c r="BA137" i="3"/>
  <c r="BB6" i="9"/>
  <c r="BA102" i="3"/>
  <c r="BA98" i="3"/>
  <c r="BA93" i="3"/>
  <c r="BA6" i="9"/>
  <c r="AZ78" i="3"/>
  <c r="AZ94" i="3"/>
  <c r="AZ98" i="3"/>
  <c r="AZ95" i="3"/>
  <c r="AZ100" i="3"/>
  <c r="AZ93" i="3"/>
  <c r="AZ102" i="3"/>
  <c r="AZ96" i="3"/>
  <c r="AZ137" i="3"/>
  <c r="AZ97" i="3"/>
  <c r="AZ99" i="3"/>
  <c r="AZ101" i="3"/>
  <c r="AV76" i="9"/>
  <c r="AY84" i="3"/>
  <c r="AY85" i="3"/>
  <c r="AY82" i="3"/>
  <c r="BA32" i="14"/>
  <c r="BB39" i="3"/>
  <c r="BB35" i="3"/>
  <c r="BB16" i="3"/>
  <c r="BC11" i="3"/>
  <c r="BC13" i="3" s="1"/>
  <c r="BB64" i="3"/>
  <c r="AI7" i="9"/>
  <c r="AZ65" i="3"/>
  <c r="BM42" i="9"/>
  <c r="AX88" i="3"/>
  <c r="AX123" i="3"/>
  <c r="AW43" i="3"/>
  <c r="AU113" i="3"/>
  <c r="AU114" i="3"/>
  <c r="AO25" i="9"/>
  <c r="AP18" i="14"/>
  <c r="AO33" i="9" s="1"/>
  <c r="AO75" i="9" s="1"/>
  <c r="AY34" i="14"/>
  <c r="AW38" i="9"/>
  <c r="AY87" i="3"/>
  <c r="AY83" i="3"/>
  <c r="AY86" i="3"/>
  <c r="AY81" i="3"/>
  <c r="AX65" i="9"/>
  <c r="BO65" i="9" s="1"/>
  <c r="G78" i="17" s="1"/>
  <c r="BO64" i="9"/>
  <c r="BC22" i="3"/>
  <c r="BC23" i="3"/>
  <c r="BC40" i="3" s="1"/>
  <c r="BC34" i="3"/>
  <c r="BC15" i="3"/>
  <c r="BD7" i="3"/>
  <c r="BD9" i="3" s="1"/>
  <c r="AZ41" i="3"/>
  <c r="AZ26" i="3"/>
  <c r="BA40" i="3"/>
  <c r="BA111" i="3"/>
  <c r="BC15" i="14"/>
  <c r="AZ15" i="9"/>
  <c r="AZ46" i="9"/>
  <c r="AN74" i="9"/>
  <c r="AN78" i="9" s="1"/>
  <c r="AN31" i="9"/>
  <c r="AN36" i="9" s="1"/>
  <c r="BB17" i="3"/>
  <c r="BB18" i="3" s="1"/>
  <c r="BB36" i="3"/>
  <c r="AW53" i="3"/>
  <c r="BN46" i="3"/>
  <c r="BT46" i="3" s="1"/>
  <c r="AV113" i="3"/>
  <c r="AV114" i="3"/>
  <c r="AY48" i="3"/>
  <c r="AY46" i="3"/>
  <c r="AY51" i="3"/>
  <c r="AY47" i="3"/>
  <c r="AY52" i="3"/>
  <c r="AY50" i="3"/>
  <c r="AY49" i="3"/>
  <c r="AY58" i="3"/>
  <c r="AY64" i="9"/>
  <c r="AY65" i="9" s="1"/>
  <c r="BA24" i="3"/>
  <c r="BA41" i="3" s="1"/>
  <c r="BA62" i="3"/>
  <c r="BA65" i="3" s="1"/>
  <c r="AQ17" i="14"/>
  <c r="AX53" i="3"/>
  <c r="BN88" i="3"/>
  <c r="AW105" i="3"/>
  <c r="Z82" i="9"/>
  <c r="Y88" i="9"/>
  <c r="Y5" i="9"/>
  <c r="Y9" i="9" s="1"/>
  <c r="Y22" i="9" s="1"/>
  <c r="Y44" i="9" s="1"/>
  <c r="Y45" i="9" s="1"/>
  <c r="BB23" i="3"/>
  <c r="BB40" i="3" s="1"/>
  <c r="AX43" i="3"/>
  <c r="BA36" i="14"/>
  <c r="AZ33" i="14"/>
  <c r="AZ36" i="14"/>
  <c r="AX35" i="14"/>
  <c r="AH56" i="9"/>
  <c r="AH59" i="9" s="1"/>
  <c r="AH61" i="9" s="1"/>
  <c r="AH67" i="9" s="1"/>
  <c r="AH71" i="9" s="1"/>
  <c r="AH80" i="9" s="1"/>
  <c r="AX55" i="3" l="1"/>
  <c r="AX57" i="3"/>
  <c r="AY53" i="3"/>
  <c r="AW131" i="3"/>
  <c r="BN53" i="3"/>
  <c r="BD15" i="3"/>
  <c r="BD34" i="3"/>
  <c r="BE7" i="3"/>
  <c r="BE9" i="3" s="1"/>
  <c r="BC39" i="3"/>
  <c r="AZ34" i="14"/>
  <c r="AX38" i="9"/>
  <c r="AY35" i="14"/>
  <c r="AW55" i="3"/>
  <c r="BN55" i="3" s="1"/>
  <c r="BN43" i="3"/>
  <c r="AW57" i="3"/>
  <c r="AJ7" i="9"/>
  <c r="AJ56" i="9"/>
  <c r="AJ59" i="9" s="1"/>
  <c r="AJ61" i="9" s="1"/>
  <c r="AJ67" i="9" s="1"/>
  <c r="AJ71" i="9" s="1"/>
  <c r="AJ80" i="9" s="1"/>
  <c r="BA33" i="14"/>
  <c r="BA51" i="9"/>
  <c r="BA14" i="9"/>
  <c r="AZ19" i="3"/>
  <c r="AZ79" i="3"/>
  <c r="BB111" i="3"/>
  <c r="BD15" i="14"/>
  <c r="Z83" i="9"/>
  <c r="BM82" i="9"/>
  <c r="E99" i="17" s="1"/>
  <c r="AX131" i="3"/>
  <c r="BA26" i="3"/>
  <c r="AZ47" i="3"/>
  <c r="AZ52" i="3"/>
  <c r="AZ49" i="3"/>
  <c r="AZ46" i="3"/>
  <c r="AZ48" i="3"/>
  <c r="AZ50" i="3"/>
  <c r="AZ51" i="3"/>
  <c r="AY123" i="3"/>
  <c r="AX105" i="3"/>
  <c r="BB55" i="9"/>
  <c r="BA55" i="9"/>
  <c r="AC40" i="9"/>
  <c r="AC42" i="9" s="1"/>
  <c r="AD39" i="9"/>
  <c r="BE13" i="14"/>
  <c r="BE14" i="14"/>
  <c r="BF11" i="14"/>
  <c r="AW138" i="3"/>
  <c r="BN105" i="3"/>
  <c r="BT105" i="3" s="1"/>
  <c r="AP25" i="9"/>
  <c r="AQ18" i="14"/>
  <c r="AP33" i="9" s="1"/>
  <c r="AP75" i="9" s="1"/>
  <c r="AW50" i="9"/>
  <c r="AW52" i="9" s="1"/>
  <c r="BB99" i="3"/>
  <c r="BB96" i="3"/>
  <c r="BB101" i="3"/>
  <c r="BB93" i="3"/>
  <c r="BB97" i="3"/>
  <c r="BB102" i="3"/>
  <c r="BB78" i="3"/>
  <c r="BB100" i="3"/>
  <c r="BC6" i="9"/>
  <c r="BC55" i="9" s="1"/>
  <c r="BB94" i="3"/>
  <c r="BB137" i="3"/>
  <c r="BB98" i="3"/>
  <c r="BB95" i="3"/>
  <c r="AO74" i="9"/>
  <c r="AO78" i="9" s="1"/>
  <c r="AO31" i="9"/>
  <c r="AO36" i="9" s="1"/>
  <c r="AV50" i="9"/>
  <c r="AV52" i="9" s="1"/>
  <c r="BA103" i="3"/>
  <c r="BA19" i="3"/>
  <c r="BA79" i="3"/>
  <c r="AR17" i="14"/>
  <c r="BT88" i="3"/>
  <c r="G67" i="17"/>
  <c r="M67" i="17" s="1"/>
  <c r="BB24" i="3"/>
  <c r="BB62" i="3"/>
  <c r="BB65" i="3" s="1"/>
  <c r="AZ64" i="9"/>
  <c r="AZ65" i="9" s="1"/>
  <c r="AZ42" i="3"/>
  <c r="AZ43" i="3"/>
  <c r="BA42" i="3"/>
  <c r="BA43" i="3" s="1"/>
  <c r="AY88" i="3"/>
  <c r="AY105" i="3" s="1"/>
  <c r="AW76" i="9"/>
  <c r="AI56" i="9"/>
  <c r="AI59" i="9" s="1"/>
  <c r="AI61" i="9" s="1"/>
  <c r="AI67" i="9" s="1"/>
  <c r="AI71" i="9" s="1"/>
  <c r="AI80" i="9" s="1"/>
  <c r="BC64" i="3"/>
  <c r="BC35" i="3"/>
  <c r="BC36" i="3" s="1"/>
  <c r="BC16" i="3"/>
  <c r="BC17" i="3" s="1"/>
  <c r="BC18" i="3" s="1"/>
  <c r="BD11" i="3"/>
  <c r="BD13" i="3" s="1"/>
  <c r="BB26" i="3"/>
  <c r="AZ58" i="3"/>
  <c r="AZ103" i="3"/>
  <c r="BB51" i="9"/>
  <c r="BB14" i="9"/>
  <c r="BD16" i="14"/>
  <c r="BC24" i="3" l="1"/>
  <c r="BC62" i="3"/>
  <c r="BC65" i="3" s="1"/>
  <c r="BC93" i="3"/>
  <c r="BC97" i="3"/>
  <c r="BC102" i="3"/>
  <c r="BD6" i="9"/>
  <c r="BC78" i="3"/>
  <c r="BC94" i="3"/>
  <c r="BC98" i="3"/>
  <c r="BC100" i="3"/>
  <c r="BC137" i="3"/>
  <c r="BC101" i="3"/>
  <c r="BC99" i="3"/>
  <c r="BC95" i="3"/>
  <c r="BC96" i="3"/>
  <c r="BB50" i="3"/>
  <c r="BB48" i="3"/>
  <c r="BB46" i="3"/>
  <c r="BB51" i="3"/>
  <c r="BB47" i="3"/>
  <c r="BB49" i="3"/>
  <c r="BB52" i="3"/>
  <c r="BB15" i="9"/>
  <c r="BB46" i="9"/>
  <c r="BD35" i="3"/>
  <c r="BE11" i="3"/>
  <c r="BE13" i="3" s="1"/>
  <c r="BD16" i="3"/>
  <c r="BD64" i="3"/>
  <c r="BB41" i="3"/>
  <c r="BB19" i="3"/>
  <c r="BB79" i="3"/>
  <c r="BE12" i="14"/>
  <c r="BE16" i="14" s="1"/>
  <c r="AX138" i="3"/>
  <c r="AA82" i="9"/>
  <c r="AA83" i="9" s="1"/>
  <c r="Z5" i="9"/>
  <c r="Z88" i="9"/>
  <c r="BM88" i="9" s="1"/>
  <c r="E34" i="17" s="1"/>
  <c r="BM83" i="9"/>
  <c r="E100" i="17" s="1"/>
  <c r="E33" i="17" s="1"/>
  <c r="AZ81" i="3"/>
  <c r="AZ83" i="3"/>
  <c r="AZ87" i="3"/>
  <c r="AZ86" i="3"/>
  <c r="G60" i="17"/>
  <c r="M60" i="17" s="1"/>
  <c r="BT43" i="3"/>
  <c r="AY38" i="9"/>
  <c r="BA34" i="14"/>
  <c r="BD22" i="3"/>
  <c r="AX107" i="3"/>
  <c r="AX130" i="3"/>
  <c r="BC111" i="3"/>
  <c r="BE15" i="14"/>
  <c r="AZ84" i="3"/>
  <c r="AZ85" i="3"/>
  <c r="AZ82" i="3"/>
  <c r="BB32" i="14"/>
  <c r="BT55" i="3"/>
  <c r="G62" i="17"/>
  <c r="M62" i="17" s="1"/>
  <c r="BD36" i="3"/>
  <c r="BT53" i="3"/>
  <c r="G61" i="17"/>
  <c r="M61" i="17" s="1"/>
  <c r="AQ25" i="9"/>
  <c r="AR18" i="14"/>
  <c r="AQ33" i="9" s="1"/>
  <c r="AQ75" i="9" s="1"/>
  <c r="BA81" i="3"/>
  <c r="BA83" i="3"/>
  <c r="BA86" i="3"/>
  <c r="BA87" i="3"/>
  <c r="BD55" i="9"/>
  <c r="BF13" i="14"/>
  <c r="BF12" i="14"/>
  <c r="BG11" i="14"/>
  <c r="BF14" i="14"/>
  <c r="AD40" i="9"/>
  <c r="AD42" i="9" s="1"/>
  <c r="AE39" i="9"/>
  <c r="AK7" i="9"/>
  <c r="AK56" i="9" s="1"/>
  <c r="AK59" i="9" s="1"/>
  <c r="AK61" i="9" s="1"/>
  <c r="AK67" i="9" s="1"/>
  <c r="AK71" i="9" s="1"/>
  <c r="AK80" i="9" s="1"/>
  <c r="BD17" i="3"/>
  <c r="BD18" i="3" s="1"/>
  <c r="AY138" i="3"/>
  <c r="BA85" i="3"/>
  <c r="BA84" i="3"/>
  <c r="BA82" i="3"/>
  <c r="BC32" i="14"/>
  <c r="BB58" i="3"/>
  <c r="BC14" i="9"/>
  <c r="BC51" i="9"/>
  <c r="BB103" i="3"/>
  <c r="AP74" i="9"/>
  <c r="AP78" i="9" s="1"/>
  <c r="AP31" i="9"/>
  <c r="AP36" i="9" s="1"/>
  <c r="AS17" i="14"/>
  <c r="AZ53" i="3"/>
  <c r="AZ55" i="3" s="1"/>
  <c r="BA49" i="3"/>
  <c r="BA50" i="3"/>
  <c r="BA47" i="3"/>
  <c r="BA48" i="3"/>
  <c r="BA51" i="3"/>
  <c r="BA46" i="3"/>
  <c r="BA52" i="3"/>
  <c r="BA58" i="3"/>
  <c r="BA15" i="9"/>
  <c r="BA46" i="9"/>
  <c r="BA35" i="14"/>
  <c r="AW107" i="3"/>
  <c r="AW130" i="3"/>
  <c r="BN57" i="3"/>
  <c r="AX76" i="9"/>
  <c r="BO76" i="9" s="1"/>
  <c r="BO38" i="9"/>
  <c r="G93" i="17" s="1"/>
  <c r="BE15" i="3"/>
  <c r="BE34" i="3"/>
  <c r="BF7" i="3"/>
  <c r="BF9" i="3" s="1"/>
  <c r="BE22" i="3"/>
  <c r="BE23" i="3"/>
  <c r="BE40" i="3" s="1"/>
  <c r="BD23" i="3"/>
  <c r="AY131" i="3"/>
  <c r="AY55" i="3"/>
  <c r="AY57" i="3"/>
  <c r="AZ35" i="14"/>
  <c r="AW112" i="3" l="1"/>
  <c r="BN107" i="3"/>
  <c r="BG14" i="14"/>
  <c r="BH11" i="14"/>
  <c r="BG13" i="14"/>
  <c r="AY76" i="9"/>
  <c r="AY107" i="3"/>
  <c r="AY112" i="3" s="1"/>
  <c r="AY130" i="3"/>
  <c r="BE39" i="3"/>
  <c r="BA64" i="9"/>
  <c r="BA65" i="9" s="1"/>
  <c r="BA53" i="3"/>
  <c r="AR25" i="9"/>
  <c r="AS18" i="14"/>
  <c r="AR33" i="9" s="1"/>
  <c r="AR75" i="9" s="1"/>
  <c r="AT17" i="14"/>
  <c r="BA88" i="3"/>
  <c r="BA105" i="3" s="1"/>
  <c r="BC36" i="14"/>
  <c r="BB33" i="14"/>
  <c r="BB36" i="14"/>
  <c r="AZ38" i="9"/>
  <c r="BB34" i="14"/>
  <c r="AZ88" i="3"/>
  <c r="AB82" i="9"/>
  <c r="AB83" i="9" s="1"/>
  <c r="AA88" i="9"/>
  <c r="AA5" i="9"/>
  <c r="AA9" i="9" s="1"/>
  <c r="AA22" i="9" s="1"/>
  <c r="AA44" i="9" s="1"/>
  <c r="BB64" i="9"/>
  <c r="BB65" i="9" s="1"/>
  <c r="BB83" i="3"/>
  <c r="BB123" i="3" s="1"/>
  <c r="BB86" i="3"/>
  <c r="BB87" i="3"/>
  <c r="BB81" i="3"/>
  <c r="BB42" i="3"/>
  <c r="BE35" i="3"/>
  <c r="BE36" i="3" s="1"/>
  <c r="BE16" i="3"/>
  <c r="BF11" i="3"/>
  <c r="BF13" i="3" s="1"/>
  <c r="BE64" i="3"/>
  <c r="AZ57" i="3"/>
  <c r="BC79" i="3"/>
  <c r="BC19" i="3"/>
  <c r="BC103" i="3"/>
  <c r="BC41" i="3"/>
  <c r="BC26" i="3"/>
  <c r="BF34" i="3"/>
  <c r="BG7" i="3"/>
  <c r="BG9" i="3" s="1"/>
  <c r="BF23" i="3"/>
  <c r="BF40" i="3" s="1"/>
  <c r="BF15" i="3"/>
  <c r="BC33" i="14"/>
  <c r="BD40" i="3"/>
  <c r="AE40" i="9"/>
  <c r="AE42" i="9" s="1"/>
  <c r="AF39" i="9"/>
  <c r="BF16" i="14"/>
  <c r="AQ74" i="9"/>
  <c r="AQ78" i="9" s="1"/>
  <c r="AQ31" i="9"/>
  <c r="AQ36" i="9" s="1"/>
  <c r="AX112" i="3"/>
  <c r="BB85" i="3"/>
  <c r="BB84" i="3"/>
  <c r="BB82" i="3"/>
  <c r="BD32" i="14"/>
  <c r="BD14" i="9"/>
  <c r="BD51" i="9"/>
  <c r="BE55" i="9"/>
  <c r="BD24" i="3"/>
  <c r="BD62" i="3"/>
  <c r="BE17" i="3"/>
  <c r="BE18" i="3" s="1"/>
  <c r="BT57" i="3"/>
  <c r="G64" i="17"/>
  <c r="AZ131" i="3"/>
  <c r="BC15" i="9"/>
  <c r="BC46" i="9"/>
  <c r="AL7" i="9"/>
  <c r="AL56" i="9"/>
  <c r="BD111" i="3"/>
  <c r="BF15" i="14"/>
  <c r="BA123" i="3"/>
  <c r="BE6" i="9"/>
  <c r="BD78" i="3"/>
  <c r="BD94" i="3"/>
  <c r="BD98" i="3"/>
  <c r="BD95" i="3"/>
  <c r="BD100" i="3"/>
  <c r="BD93" i="3"/>
  <c r="BD102" i="3"/>
  <c r="BD96" i="3"/>
  <c r="BD137" i="3"/>
  <c r="BD97" i="3"/>
  <c r="BD99" i="3"/>
  <c r="BD101" i="3"/>
  <c r="BD58" i="3"/>
  <c r="BD26" i="3"/>
  <c r="BD39" i="3"/>
  <c r="AZ123" i="3"/>
  <c r="BM5" i="9"/>
  <c r="E84" i="17" s="1"/>
  <c r="E87" i="17" s="1"/>
  <c r="Z9" i="9"/>
  <c r="BB53" i="3"/>
  <c r="BE95" i="3" l="1"/>
  <c r="BE100" i="3"/>
  <c r="BE99" i="3"/>
  <c r="BE96" i="3"/>
  <c r="BE101" i="3"/>
  <c r="BE78" i="3"/>
  <c r="BE94" i="3"/>
  <c r="BE97" i="3"/>
  <c r="BE98" i="3"/>
  <c r="BE93" i="3"/>
  <c r="BF6" i="9"/>
  <c r="BE102" i="3"/>
  <c r="BE137" i="3"/>
  <c r="BN56" i="9"/>
  <c r="AL59" i="9"/>
  <c r="BB88" i="3"/>
  <c r="BB105" i="3" s="1"/>
  <c r="BA131" i="3"/>
  <c r="BA57" i="3"/>
  <c r="BA55" i="3"/>
  <c r="BE36" i="14"/>
  <c r="BD33" i="14"/>
  <c r="AG39" i="9"/>
  <c r="AF40" i="9"/>
  <c r="AF42" i="9" s="1"/>
  <c r="BC48" i="3"/>
  <c r="BC46" i="3"/>
  <c r="BC51" i="3"/>
  <c r="BC47" i="3"/>
  <c r="BC52" i="3"/>
  <c r="BC49" i="3"/>
  <c r="BC50" i="3"/>
  <c r="BC58" i="3"/>
  <c r="BC84" i="3"/>
  <c r="BC85" i="3"/>
  <c r="BC82" i="3"/>
  <c r="BE32" i="14"/>
  <c r="AC82" i="9"/>
  <c r="AC83" i="9" s="1"/>
  <c r="AB5" i="9"/>
  <c r="AB9" i="9" s="1"/>
  <c r="AB22" i="9" s="1"/>
  <c r="AB44" i="9" s="1"/>
  <c r="AB45" i="9" s="1"/>
  <c r="AB88" i="9"/>
  <c r="AZ76" i="9"/>
  <c r="BH13" i="14"/>
  <c r="BH12" i="14"/>
  <c r="BH16" i="14" s="1"/>
  <c r="BH14" i="14"/>
  <c r="BI11" i="14"/>
  <c r="AW113" i="3"/>
  <c r="BN113" i="3" s="1"/>
  <c r="G72" i="17" s="1"/>
  <c r="M72" i="17" s="1"/>
  <c r="AW114" i="3"/>
  <c r="BN112" i="3"/>
  <c r="BT112" i="3" s="1"/>
  <c r="BE24" i="3"/>
  <c r="BE62" i="3"/>
  <c r="BE65" i="3" s="1"/>
  <c r="BF17" i="3"/>
  <c r="BF18" i="3" s="1"/>
  <c r="AZ130" i="3"/>
  <c r="BE111" i="3"/>
  <c r="BG15" i="14"/>
  <c r="BB131" i="3"/>
  <c r="AM7" i="9"/>
  <c r="BN7" i="9"/>
  <c r="F85" i="17" s="1"/>
  <c r="BD42" i="3"/>
  <c r="BD43" i="3"/>
  <c r="BD19" i="3"/>
  <c r="BD79" i="3"/>
  <c r="M64" i="17"/>
  <c r="BD65" i="3"/>
  <c r="BC35" i="14"/>
  <c r="BG23" i="3"/>
  <c r="BG40" i="3" s="1"/>
  <c r="BG15" i="3"/>
  <c r="BH7" i="3"/>
  <c r="BH9" i="3" s="1"/>
  <c r="BG34" i="3"/>
  <c r="BG22" i="3"/>
  <c r="BC42" i="3"/>
  <c r="BC43" i="3"/>
  <c r="BC87" i="3"/>
  <c r="BC83" i="3"/>
  <c r="BC86" i="3"/>
  <c r="BC81" i="3"/>
  <c r="BF35" i="3"/>
  <c r="BF36" i="3" s="1"/>
  <c r="BF16" i="3"/>
  <c r="BF64" i="3"/>
  <c r="BG11" i="3"/>
  <c r="BG13" i="3" s="1"/>
  <c r="BA138" i="3"/>
  <c r="AY113" i="3"/>
  <c r="AY114" i="3"/>
  <c r="AU17" i="14"/>
  <c r="BD15" i="9"/>
  <c r="BD46" i="9"/>
  <c r="BC34" i="14"/>
  <c r="BA38" i="9"/>
  <c r="BB35" i="14"/>
  <c r="AS25" i="9"/>
  <c r="AT18" i="14"/>
  <c r="AS33" i="9" s="1"/>
  <c r="AS75" i="9" s="1"/>
  <c r="BT107" i="3"/>
  <c r="G69" i="17"/>
  <c r="M69" i="17" s="1"/>
  <c r="BD103" i="3"/>
  <c r="BM9" i="9"/>
  <c r="Z22" i="9"/>
  <c r="BE51" i="9"/>
  <c r="BE14" i="9"/>
  <c r="BD47" i="3"/>
  <c r="BD52" i="3"/>
  <c r="BD49" i="3"/>
  <c r="BD46" i="3"/>
  <c r="BD48" i="3"/>
  <c r="BD50" i="3"/>
  <c r="BD51" i="3"/>
  <c r="BF55" i="9"/>
  <c r="BC64" i="9"/>
  <c r="BC65" i="9" s="1"/>
  <c r="BD41" i="3"/>
  <c r="AX113" i="3"/>
  <c r="AX114" i="3"/>
  <c r="BD36" i="14"/>
  <c r="BF22" i="3"/>
  <c r="BB43" i="3"/>
  <c r="AZ105" i="3"/>
  <c r="AR74" i="9"/>
  <c r="AR78" i="9" s="1"/>
  <c r="AR31" i="9"/>
  <c r="AR36" i="9" s="1"/>
  <c r="BG12" i="14"/>
  <c r="BG16" i="14" s="1"/>
  <c r="BF99" i="3" l="1"/>
  <c r="BF96" i="3"/>
  <c r="BF101" i="3"/>
  <c r="BF93" i="3"/>
  <c r="BF97" i="3"/>
  <c r="BF102" i="3"/>
  <c r="BF78" i="3"/>
  <c r="BF100" i="3"/>
  <c r="BG6" i="9"/>
  <c r="BF94" i="3"/>
  <c r="BF98" i="3"/>
  <c r="BF137" i="3"/>
  <c r="BF95" i="3"/>
  <c r="BF39" i="3"/>
  <c r="AT25" i="9"/>
  <c r="AU18" i="14"/>
  <c r="AT33" i="9" s="1"/>
  <c r="AT75" i="9" s="1"/>
  <c r="BG39" i="3"/>
  <c r="AN7" i="9"/>
  <c r="AN56" i="9"/>
  <c r="AN59" i="9" s="1"/>
  <c r="AN61" i="9" s="1"/>
  <c r="AN67" i="9" s="1"/>
  <c r="AN71" i="9" s="1"/>
  <c r="AN80" i="9" s="1"/>
  <c r="BA107" i="3"/>
  <c r="BA112" i="3" s="1"/>
  <c r="BA130" i="3"/>
  <c r="AL61" i="9"/>
  <c r="BN59" i="9"/>
  <c r="BE19" i="3"/>
  <c r="BE79" i="3"/>
  <c r="AZ138" i="3"/>
  <c r="AZ107" i="3"/>
  <c r="AG40" i="9"/>
  <c r="AG42" i="9" s="1"/>
  <c r="AH39" i="9"/>
  <c r="BD64" i="9"/>
  <c r="BD65" i="9" s="1"/>
  <c r="BF14" i="9"/>
  <c r="BF51" i="9"/>
  <c r="AX50" i="9"/>
  <c r="BN114" i="3"/>
  <c r="BG16" i="3"/>
  <c r="BH11" i="3"/>
  <c r="BH13" i="3" s="1"/>
  <c r="BG35" i="3"/>
  <c r="BG36" i="3" s="1"/>
  <c r="BG64" i="3"/>
  <c r="BD81" i="3"/>
  <c r="BD83" i="3"/>
  <c r="BD123" i="3" s="1"/>
  <c r="BD87" i="3"/>
  <c r="BD86" i="3"/>
  <c r="BF111" i="3"/>
  <c r="BH15" i="14"/>
  <c r="BD34" i="14"/>
  <c r="BB38" i="9"/>
  <c r="BC88" i="3"/>
  <c r="BD84" i="3"/>
  <c r="BD85" i="3"/>
  <c r="BD82" i="3"/>
  <c r="BF32" i="14"/>
  <c r="BF24" i="3"/>
  <c r="BF62" i="3"/>
  <c r="BF65" i="3" s="1"/>
  <c r="BE41" i="3"/>
  <c r="BE26" i="3"/>
  <c r="BG55" i="9"/>
  <c r="AY50" i="9"/>
  <c r="AY52" i="9" s="1"/>
  <c r="BC123" i="3"/>
  <c r="BM22" i="9"/>
  <c r="Z44" i="9"/>
  <c r="BA76" i="9"/>
  <c r="BC53" i="3"/>
  <c r="BC55" i="3" s="1"/>
  <c r="BB55" i="3"/>
  <c r="BB138" i="3" s="1"/>
  <c r="BB57" i="3"/>
  <c r="BD53" i="3"/>
  <c r="BD131" i="3" s="1"/>
  <c r="AZ50" i="9"/>
  <c r="AZ52" i="9" s="1"/>
  <c r="BH15" i="3"/>
  <c r="BH34" i="3"/>
  <c r="BI7" i="3"/>
  <c r="BI9" i="3" s="1"/>
  <c r="BH22" i="3"/>
  <c r="BH23" i="3"/>
  <c r="BH40" i="3" s="1"/>
  <c r="BI14" i="14"/>
  <c r="BI13" i="14"/>
  <c r="BI12" i="14"/>
  <c r="BI16" i="14" s="1"/>
  <c r="BJ11" i="14"/>
  <c r="AD82" i="9"/>
  <c r="AD83" i="9" s="1"/>
  <c r="AC88" i="9"/>
  <c r="AC5" i="9"/>
  <c r="AC9" i="9" s="1"/>
  <c r="AC22" i="9" s="1"/>
  <c r="AC44" i="9" s="1"/>
  <c r="AC45" i="9" s="1"/>
  <c r="BE15" i="9"/>
  <c r="BE46" i="9"/>
  <c r="AS74" i="9"/>
  <c r="AS78" i="9" s="1"/>
  <c r="AS31" i="9"/>
  <c r="AS36" i="9" s="1"/>
  <c r="BG17" i="3"/>
  <c r="BG18" i="3" s="1"/>
  <c r="AM56" i="9"/>
  <c r="AM59" i="9" s="1"/>
  <c r="AM61" i="9" s="1"/>
  <c r="AV17" i="14"/>
  <c r="BF36" i="14"/>
  <c r="BE33" i="14"/>
  <c r="BE103" i="3"/>
  <c r="BH6" i="9" l="1"/>
  <c r="BG78" i="3"/>
  <c r="BG94" i="3"/>
  <c r="BG98" i="3"/>
  <c r="BG93" i="3"/>
  <c r="BG100" i="3"/>
  <c r="BG95" i="3"/>
  <c r="BG101" i="3"/>
  <c r="BG137" i="3"/>
  <c r="BG96" i="3"/>
  <c r="BG99" i="3"/>
  <c r="BG97" i="3"/>
  <c r="BG102" i="3"/>
  <c r="BG62" i="3"/>
  <c r="BG65" i="3" s="1"/>
  <c r="BG24" i="3"/>
  <c r="BH39" i="3"/>
  <c r="BB107" i="3"/>
  <c r="BB112" i="3" s="1"/>
  <c r="BB130" i="3"/>
  <c r="BE49" i="3"/>
  <c r="BE50" i="3"/>
  <c r="BE47" i="3"/>
  <c r="BE48" i="3"/>
  <c r="BE51" i="3"/>
  <c r="BE46" i="3"/>
  <c r="BE52" i="3"/>
  <c r="BE58" i="3"/>
  <c r="BF41" i="3"/>
  <c r="BE85" i="3"/>
  <c r="BE84" i="3"/>
  <c r="BE82" i="3"/>
  <c r="BG32" i="14"/>
  <c r="BA113" i="3"/>
  <c r="BA114" i="3" s="1"/>
  <c r="BF26" i="3"/>
  <c r="BF19" i="3"/>
  <c r="BF79" i="3"/>
  <c r="AU25" i="9"/>
  <c r="AV18" i="14"/>
  <c r="AU33" i="9" s="1"/>
  <c r="AU75" i="9" s="1"/>
  <c r="BG111" i="3"/>
  <c r="BI15" i="14"/>
  <c r="BI34" i="3"/>
  <c r="BO9" i="3"/>
  <c r="J46" i="17" s="1"/>
  <c r="BI15" i="3"/>
  <c r="BE42" i="3"/>
  <c r="BE43" i="3"/>
  <c r="BG36" i="14"/>
  <c r="BF33" i="14"/>
  <c r="BC57" i="3"/>
  <c r="BB76" i="9"/>
  <c r="BD88" i="3"/>
  <c r="BD105" i="3" s="1"/>
  <c r="BH16" i="3"/>
  <c r="BI11" i="3"/>
  <c r="BI13" i="3" s="1"/>
  <c r="BH35" i="3"/>
  <c r="BH36" i="3" s="1"/>
  <c r="BH64" i="3"/>
  <c r="AX52" i="9"/>
  <c r="BO52" i="9" s="1"/>
  <c r="BO50" i="9"/>
  <c r="BF15" i="9"/>
  <c r="BF46" i="9"/>
  <c r="AH40" i="9"/>
  <c r="AH42" i="9" s="1"/>
  <c r="AI39" i="9"/>
  <c r="BE64" i="9"/>
  <c r="BE65" i="9" s="1"/>
  <c r="AE82" i="9"/>
  <c r="AE83" i="9" s="1"/>
  <c r="AD88" i="9"/>
  <c r="AD5" i="9"/>
  <c r="AD9" i="9" s="1"/>
  <c r="AD22" i="9" s="1"/>
  <c r="AD44" i="9" s="1"/>
  <c r="AD45" i="9" s="1"/>
  <c r="AW17" i="14"/>
  <c r="BC38" i="9"/>
  <c r="BE34" i="14"/>
  <c r="BD57" i="3"/>
  <c r="BD35" i="14"/>
  <c r="AL67" i="9"/>
  <c r="BN61" i="9"/>
  <c r="F77" i="17" s="1"/>
  <c r="AO7" i="9"/>
  <c r="AO56" i="9" s="1"/>
  <c r="AO59" i="9" s="1"/>
  <c r="AO61" i="9" s="1"/>
  <c r="AT74" i="9"/>
  <c r="AT78" i="9" s="1"/>
  <c r="AT31" i="9"/>
  <c r="AT36" i="9" s="1"/>
  <c r="BH55" i="9"/>
  <c r="BE35" i="14"/>
  <c r="AM67" i="9"/>
  <c r="AM71" i="9" s="1"/>
  <c r="AM80" i="9" s="1"/>
  <c r="BJ13" i="14"/>
  <c r="BJ12" i="14"/>
  <c r="BJ14" i="14"/>
  <c r="BK11" i="14"/>
  <c r="BH17" i="3"/>
  <c r="BH18" i="3" s="1"/>
  <c r="BC131" i="3"/>
  <c r="BM44" i="9"/>
  <c r="Z45" i="9"/>
  <c r="BM45" i="9" s="1"/>
  <c r="AA45" i="9"/>
  <c r="BC105" i="3"/>
  <c r="G73" i="17"/>
  <c r="M73" i="17" s="1"/>
  <c r="BT114" i="3"/>
  <c r="BD55" i="3"/>
  <c r="AZ112" i="3"/>
  <c r="BE81" i="3"/>
  <c r="BE83" i="3"/>
  <c r="BE86" i="3"/>
  <c r="BE87" i="3"/>
  <c r="BF43" i="3"/>
  <c r="BF42" i="3"/>
  <c r="BG14" i="9"/>
  <c r="BG51" i="9"/>
  <c r="BF103" i="3"/>
  <c r="BH95" i="3" l="1"/>
  <c r="BH100" i="3"/>
  <c r="BH78" i="3"/>
  <c r="BH94" i="3"/>
  <c r="BH101" i="3"/>
  <c r="BI6" i="9"/>
  <c r="BH96" i="3"/>
  <c r="BH102" i="3"/>
  <c r="BH93" i="3"/>
  <c r="BH137" i="3"/>
  <c r="BH99" i="3"/>
  <c r="BH98" i="3"/>
  <c r="BH97" i="3"/>
  <c r="AO67" i="9"/>
  <c r="AO71" i="9" s="1"/>
  <c r="AO80" i="9" s="1"/>
  <c r="BB50" i="9"/>
  <c r="BB52" i="9" s="1"/>
  <c r="BK13" i="14"/>
  <c r="BK14" i="14"/>
  <c r="BI17" i="14" s="1"/>
  <c r="BC76" i="9"/>
  <c r="BF64" i="9"/>
  <c r="BF65" i="9" s="1"/>
  <c r="BO34" i="3"/>
  <c r="AU74" i="9"/>
  <c r="AU78" i="9" s="1"/>
  <c r="AU31" i="9"/>
  <c r="AU36" i="9" s="1"/>
  <c r="AX17" i="14"/>
  <c r="BE17" i="14"/>
  <c r="BG17" i="14"/>
  <c r="BA17" i="14"/>
  <c r="BI35" i="3"/>
  <c r="BO35" i="3" s="1"/>
  <c r="BI16" i="3"/>
  <c r="BI17" i="3" s="1"/>
  <c r="BI64" i="3"/>
  <c r="BO64" i="3" s="1"/>
  <c r="BO13" i="3"/>
  <c r="J47" i="17" s="1"/>
  <c r="BI23" i="3"/>
  <c r="BF83" i="3"/>
  <c r="BF86" i="3"/>
  <c r="BF87" i="3"/>
  <c r="BF81" i="3"/>
  <c r="BG15" i="9"/>
  <c r="BG46" i="9"/>
  <c r="AZ113" i="3"/>
  <c r="AZ114" i="3" s="1"/>
  <c r="BB17" i="14"/>
  <c r="AI40" i="9"/>
  <c r="AI42" i="9" s="1"/>
  <c r="AJ39" i="9"/>
  <c r="BE88" i="3"/>
  <c r="BJ16" i="14"/>
  <c r="BK12" i="14" s="1"/>
  <c r="BK16" i="14" s="1"/>
  <c r="BK18" i="14" s="1"/>
  <c r="BJ33" i="9" s="1"/>
  <c r="BD130" i="3"/>
  <c r="BD107" i="3"/>
  <c r="BD112" i="3" s="1"/>
  <c r="BF17" i="14"/>
  <c r="AV25" i="9"/>
  <c r="AW18" i="14"/>
  <c r="AV33" i="9" s="1"/>
  <c r="AV75" i="9" s="1"/>
  <c r="AF82" i="9"/>
  <c r="AF83" i="9" s="1"/>
  <c r="AE88" i="9"/>
  <c r="AE5" i="9"/>
  <c r="AE9" i="9" s="1"/>
  <c r="AE22" i="9" s="1"/>
  <c r="AE44" i="9" s="1"/>
  <c r="AE45" i="9" s="1"/>
  <c r="BC107" i="3"/>
  <c r="BC130" i="3"/>
  <c r="BF85" i="3"/>
  <c r="BF84" i="3"/>
  <c r="BF82" i="3"/>
  <c r="BH32" i="14"/>
  <c r="BH36" i="14"/>
  <c r="BG33" i="14"/>
  <c r="BB113" i="3"/>
  <c r="BB114" i="3"/>
  <c r="BG41" i="3"/>
  <c r="BG26" i="3"/>
  <c r="BH51" i="9"/>
  <c r="BH14" i="9"/>
  <c r="BG19" i="3"/>
  <c r="BG79" i="3"/>
  <c r="AP7" i="9"/>
  <c r="AP56" i="9" s="1"/>
  <c r="AP59" i="9" s="1"/>
  <c r="AP61" i="9" s="1"/>
  <c r="BD17" i="14"/>
  <c r="BE123" i="3"/>
  <c r="BC138" i="3"/>
  <c r="BH24" i="3"/>
  <c r="BH62" i="3"/>
  <c r="BH65" i="3" s="1"/>
  <c r="BJ15" i="14"/>
  <c r="BH111" i="3"/>
  <c r="AL71" i="9"/>
  <c r="BN67" i="9"/>
  <c r="BD38" i="9"/>
  <c r="BF34" i="14"/>
  <c r="BC17" i="14"/>
  <c r="BH17" i="14"/>
  <c r="BD138" i="3"/>
  <c r="BF35" i="14"/>
  <c r="BI22" i="3"/>
  <c r="BF50" i="3"/>
  <c r="BF48" i="3"/>
  <c r="BF46" i="3"/>
  <c r="BF51" i="3"/>
  <c r="BF47" i="3"/>
  <c r="BF49" i="3"/>
  <c r="BF52" i="3"/>
  <c r="BF58" i="3"/>
  <c r="BE53" i="3"/>
  <c r="BE55" i="3" s="1"/>
  <c r="BG103" i="3"/>
  <c r="BI55" i="9"/>
  <c r="BP33" i="9" l="1"/>
  <c r="H90" i="17" s="1"/>
  <c r="H91" i="17" s="1"/>
  <c r="BJ36" i="9"/>
  <c r="BP36" i="9" s="1"/>
  <c r="AP67" i="9"/>
  <c r="AP71" i="9" s="1"/>
  <c r="AP80" i="9" s="1"/>
  <c r="BA50" i="9"/>
  <c r="BA52" i="9" s="1"/>
  <c r="BI18" i="3"/>
  <c r="BO17" i="3"/>
  <c r="BH25" i="9"/>
  <c r="BI18" i="14"/>
  <c r="BH33" i="9" s="1"/>
  <c r="BH75" i="9" s="1"/>
  <c r="BB25" i="9"/>
  <c r="BC18" i="14"/>
  <c r="BB33" i="9" s="1"/>
  <c r="BD76" i="9"/>
  <c r="BC112" i="3"/>
  <c r="AG82" i="9"/>
  <c r="AG83" i="9" s="1"/>
  <c r="AF88" i="9"/>
  <c r="AF5" i="9"/>
  <c r="AF9" i="9" s="1"/>
  <c r="AF22" i="9" s="1"/>
  <c r="AF44" i="9" s="1"/>
  <c r="AF45" i="9" s="1"/>
  <c r="BD113" i="3"/>
  <c r="BD114" i="3"/>
  <c r="BE105" i="3"/>
  <c r="BG64" i="9"/>
  <c r="BG65" i="9" s="1"/>
  <c r="BF123" i="3"/>
  <c r="H55" i="17"/>
  <c r="AW25" i="9"/>
  <c r="AX18" i="14"/>
  <c r="AW33" i="9" s="1"/>
  <c r="AW75" i="9" s="1"/>
  <c r="BI36" i="3"/>
  <c r="AL80" i="9"/>
  <c r="BN80" i="9" s="1"/>
  <c r="F80" i="17" s="1"/>
  <c r="BN71" i="9"/>
  <c r="BE131" i="3"/>
  <c r="BG25" i="9"/>
  <c r="BH18" i="14"/>
  <c r="BG33" i="9" s="1"/>
  <c r="BG87" i="3"/>
  <c r="BG83" i="3"/>
  <c r="BG123" i="3" s="1"/>
  <c r="BG86" i="3"/>
  <c r="BG81" i="3"/>
  <c r="BG47" i="3"/>
  <c r="BG52" i="3"/>
  <c r="BG48" i="3"/>
  <c r="BG50" i="3"/>
  <c r="BG51" i="3"/>
  <c r="BG46" i="3"/>
  <c r="BG53" i="3" s="1"/>
  <c r="BG49" i="3"/>
  <c r="BG58" i="3"/>
  <c r="BA25" i="9"/>
  <c r="BB18" i="14"/>
  <c r="BA33" i="9" s="1"/>
  <c r="BF88" i="3"/>
  <c r="BF105" i="3" s="1"/>
  <c r="BI40" i="3"/>
  <c r="BO40" i="3" s="1"/>
  <c r="BO23" i="3"/>
  <c r="AZ25" i="9"/>
  <c r="BA18" i="14"/>
  <c r="AZ33" i="9" s="1"/>
  <c r="BH19" i="3"/>
  <c r="BH79" i="3"/>
  <c r="BC25" i="9"/>
  <c r="BD18" i="14"/>
  <c r="BC33" i="9" s="1"/>
  <c r="BC75" i="9" s="1"/>
  <c r="BG84" i="3"/>
  <c r="BG85" i="3"/>
  <c r="BG82" i="3"/>
  <c r="BI32" i="14"/>
  <c r="BG43" i="3"/>
  <c r="BG42" i="3"/>
  <c r="AV74" i="9"/>
  <c r="AV78" i="9" s="1"/>
  <c r="AV31" i="9"/>
  <c r="AV36" i="9" s="1"/>
  <c r="BJ18" i="14"/>
  <c r="BI33" i="9" s="1"/>
  <c r="BF25" i="9"/>
  <c r="BG18" i="14"/>
  <c r="BF33" i="9" s="1"/>
  <c r="BJ17" i="14"/>
  <c r="BI25" i="9" s="1"/>
  <c r="AY17" i="14"/>
  <c r="AZ17" i="14"/>
  <c r="BI51" i="9"/>
  <c r="BI14" i="9"/>
  <c r="BI39" i="3"/>
  <c r="BO22" i="3"/>
  <c r="BF53" i="3"/>
  <c r="BG34" i="14"/>
  <c r="BG35" i="14" s="1"/>
  <c r="BE38" i="9"/>
  <c r="BH41" i="3"/>
  <c r="BH26" i="3"/>
  <c r="AQ7" i="9"/>
  <c r="AQ56" i="9" s="1"/>
  <c r="AQ59" i="9" s="1"/>
  <c r="AQ61" i="9" s="1"/>
  <c r="BH15" i="9"/>
  <c r="BH46" i="9"/>
  <c r="BC50" i="9"/>
  <c r="BC52" i="9" s="1"/>
  <c r="BH33" i="14"/>
  <c r="BE25" i="9"/>
  <c r="BF18" i="14"/>
  <c r="BE33" i="9" s="1"/>
  <c r="BE75" i="9" s="1"/>
  <c r="AJ40" i="9"/>
  <c r="AJ42" i="9" s="1"/>
  <c r="AK39" i="9"/>
  <c r="BE57" i="3"/>
  <c r="BD25" i="9"/>
  <c r="BE18" i="14"/>
  <c r="BD33" i="9" s="1"/>
  <c r="H54" i="17"/>
  <c r="BI111" i="3"/>
  <c r="BO111" i="3" s="1"/>
  <c r="BK15" i="14"/>
  <c r="BH103" i="3"/>
  <c r="AQ67" i="9" l="1"/>
  <c r="AQ71" i="9" s="1"/>
  <c r="AQ80" i="9" s="1"/>
  <c r="BO39" i="3"/>
  <c r="BH85" i="3"/>
  <c r="BH84" i="3"/>
  <c r="BH82" i="3"/>
  <c r="BJ32" i="14"/>
  <c r="BF74" i="9"/>
  <c r="BF31" i="9"/>
  <c r="BF36" i="9" s="1"/>
  <c r="BJ36" i="14"/>
  <c r="BI33" i="14"/>
  <c r="BI99" i="3"/>
  <c r="BI96" i="3"/>
  <c r="BO96" i="3" s="1"/>
  <c r="BI101" i="3"/>
  <c r="BO101" i="3" s="1"/>
  <c r="BJ6" i="9"/>
  <c r="BI95" i="3"/>
  <c r="BO95" i="3" s="1"/>
  <c r="BU95" i="3" s="1"/>
  <c r="BI102" i="3"/>
  <c r="BO102" i="3" s="1"/>
  <c r="BI97" i="3"/>
  <c r="BO97" i="3" s="1"/>
  <c r="BI93" i="3"/>
  <c r="BI98" i="3"/>
  <c r="BO98" i="3" s="1"/>
  <c r="BU98" i="3" s="1"/>
  <c r="BI78" i="3"/>
  <c r="BI94" i="3"/>
  <c r="BO94" i="3" s="1"/>
  <c r="BU94" i="3" s="1"/>
  <c r="BI137" i="3"/>
  <c r="BI100" i="3"/>
  <c r="BO36" i="3"/>
  <c r="BB75" i="9"/>
  <c r="BH31" i="9"/>
  <c r="BH36" i="9" s="1"/>
  <c r="BH74" i="9"/>
  <c r="H71" i="17"/>
  <c r="AR7" i="9"/>
  <c r="BF75" i="9"/>
  <c r="BG131" i="3"/>
  <c r="AH82" i="9"/>
  <c r="AH83" i="9" s="1"/>
  <c r="AG88" i="9"/>
  <c r="AG5" i="9"/>
  <c r="AG9" i="9" s="1"/>
  <c r="AG22" i="9" s="1"/>
  <c r="AG44" i="9" s="1"/>
  <c r="AG45" i="9" s="1"/>
  <c r="BE107" i="3"/>
  <c r="BE130" i="3"/>
  <c r="AY25" i="9"/>
  <c r="AZ18" i="14"/>
  <c r="AY33" i="9" s="1"/>
  <c r="BI36" i="14"/>
  <c r="BH49" i="3"/>
  <c r="BH48" i="3"/>
  <c r="BH51" i="3"/>
  <c r="BH46" i="3"/>
  <c r="BH52" i="3"/>
  <c r="BH50" i="3"/>
  <c r="BH47" i="3"/>
  <c r="BH58" i="3"/>
  <c r="BF131" i="3"/>
  <c r="BF55" i="3"/>
  <c r="BF57" i="3"/>
  <c r="BI15" i="9"/>
  <c r="BI46" i="9"/>
  <c r="AX25" i="9"/>
  <c r="AY18" i="14"/>
  <c r="AX33" i="9" s="1"/>
  <c r="BC74" i="9"/>
  <c r="BC78" i="9" s="1"/>
  <c r="BC31" i="9"/>
  <c r="BC36" i="9" s="1"/>
  <c r="BF138" i="3"/>
  <c r="BG88" i="3"/>
  <c r="BG105" i="3" s="1"/>
  <c r="BG75" i="9"/>
  <c r="BC113" i="3"/>
  <c r="BC114" i="3"/>
  <c r="BB74" i="9"/>
  <c r="BB31" i="9"/>
  <c r="BB36" i="9" s="1"/>
  <c r="BD31" i="9"/>
  <c r="BD36" i="9" s="1"/>
  <c r="BD74" i="9"/>
  <c r="BE76" i="9"/>
  <c r="BI75" i="9"/>
  <c r="BG55" i="3"/>
  <c r="BG57" i="3"/>
  <c r="BA31" i="9"/>
  <c r="BA36" i="9" s="1"/>
  <c r="BA74" i="9"/>
  <c r="BE50" i="9"/>
  <c r="BE52" i="9" s="1"/>
  <c r="BE31" i="9"/>
  <c r="BE36" i="9" s="1"/>
  <c r="BE74" i="9"/>
  <c r="BE78" i="9" s="1"/>
  <c r="BH34" i="14"/>
  <c r="BF38" i="9"/>
  <c r="AK40" i="9"/>
  <c r="AK42" i="9" s="1"/>
  <c r="AL39" i="9"/>
  <c r="BD75" i="9"/>
  <c r="BH64" i="9"/>
  <c r="BH65" i="9" s="1"/>
  <c r="BH42" i="3"/>
  <c r="BH43" i="3" s="1"/>
  <c r="BI74" i="9"/>
  <c r="BI31" i="9"/>
  <c r="BI36" i="9" s="1"/>
  <c r="BJ74" i="9"/>
  <c r="BH81" i="3"/>
  <c r="BH88" i="3" s="1"/>
  <c r="BH105" i="3" s="1"/>
  <c r="BH83" i="3"/>
  <c r="BH87" i="3"/>
  <c r="BH86" i="3"/>
  <c r="AZ31" i="9"/>
  <c r="AZ36" i="9" s="1"/>
  <c r="BA75" i="9"/>
  <c r="BG74" i="9"/>
  <c r="BG31" i="9"/>
  <c r="BG36" i="9" s="1"/>
  <c r="AW74" i="9"/>
  <c r="AW78" i="9" s="1"/>
  <c r="AW31" i="9"/>
  <c r="AW36" i="9" s="1"/>
  <c r="BE138" i="3"/>
  <c r="BI62" i="3"/>
  <c r="BI24" i="3"/>
  <c r="BO18" i="3"/>
  <c r="J48" i="17" s="1"/>
  <c r="BJ75" i="9"/>
  <c r="BP75" i="9" s="1"/>
  <c r="BG38" i="9" l="1"/>
  <c r="BI34" i="14"/>
  <c r="BD50" i="9"/>
  <c r="BD52" i="9" s="1"/>
  <c r="BF107" i="3"/>
  <c r="BF112" i="3" s="1"/>
  <c r="BF130" i="3"/>
  <c r="BH35" i="14"/>
  <c r="AX74" i="9"/>
  <c r="AX31" i="9"/>
  <c r="BO25" i="9"/>
  <c r="AY74" i="9"/>
  <c r="AY78" i="9" s="1"/>
  <c r="AY31" i="9"/>
  <c r="AY36" i="9" s="1"/>
  <c r="AS56" i="9"/>
  <c r="AS59" i="9" s="1"/>
  <c r="AS61" i="9" s="1"/>
  <c r="AS67" i="9" s="1"/>
  <c r="AS71" i="9" s="1"/>
  <c r="AS80" i="9" s="1"/>
  <c r="AS7" i="9"/>
  <c r="BP6" i="9"/>
  <c r="BJ55" i="9"/>
  <c r="BI41" i="3"/>
  <c r="BO24" i="3"/>
  <c r="BO26" i="3" s="1"/>
  <c r="J50" i="17" s="1"/>
  <c r="BI26" i="3"/>
  <c r="BG107" i="3"/>
  <c r="BG112" i="3" s="1"/>
  <c r="BG130" i="3"/>
  <c r="BB78" i="9"/>
  <c r="AI82" i="9"/>
  <c r="AI83" i="9" s="1"/>
  <c r="AH5" i="9"/>
  <c r="AH9" i="9" s="1"/>
  <c r="AH22" i="9" s="1"/>
  <c r="AH44" i="9" s="1"/>
  <c r="AH45" i="9" s="1"/>
  <c r="AH88" i="9"/>
  <c r="AR56" i="9"/>
  <c r="AR59" i="9" s="1"/>
  <c r="AR61" i="9" s="1"/>
  <c r="BU71" i="3"/>
  <c r="BU70" i="3"/>
  <c r="BO58" i="3"/>
  <c r="BU36" i="3"/>
  <c r="BU69" i="3"/>
  <c r="H56" i="17"/>
  <c r="BU74" i="3"/>
  <c r="BU73" i="3"/>
  <c r="BU67" i="3"/>
  <c r="BU68" i="3"/>
  <c r="BU72" i="3"/>
  <c r="BU77" i="3"/>
  <c r="BU63" i="3"/>
  <c r="BU64" i="3"/>
  <c r="BU34" i="3"/>
  <c r="BU35" i="3"/>
  <c r="BI19" i="3"/>
  <c r="BI79" i="3"/>
  <c r="BO78" i="3"/>
  <c r="BU78" i="3" s="1"/>
  <c r="BU97" i="3"/>
  <c r="BU101" i="3"/>
  <c r="BU40" i="3"/>
  <c r="BN39" i="9"/>
  <c r="F94" i="17" s="1"/>
  <c r="F95" i="17" s="1"/>
  <c r="F97" i="17" s="1"/>
  <c r="AL40" i="9"/>
  <c r="AM39" i="9"/>
  <c r="AX75" i="9"/>
  <c r="BO75" i="9" s="1"/>
  <c r="BO33" i="9"/>
  <c r="G90" i="17" s="1"/>
  <c r="AY75" i="9"/>
  <c r="N71" i="17"/>
  <c r="BP74" i="9"/>
  <c r="AZ75" i="9"/>
  <c r="BI103" i="3"/>
  <c r="BO93" i="3"/>
  <c r="BU93" i="3" s="1"/>
  <c r="BO99" i="3"/>
  <c r="BU99" i="3" s="1"/>
  <c r="BI65" i="3"/>
  <c r="BO65" i="3" s="1"/>
  <c r="BO62" i="3"/>
  <c r="BU62" i="3" s="1"/>
  <c r="AZ74" i="9"/>
  <c r="BH123" i="3"/>
  <c r="BF76" i="9"/>
  <c r="BF78" i="9" s="1"/>
  <c r="BA78" i="9"/>
  <c r="BD78" i="9"/>
  <c r="BG138" i="3"/>
  <c r="BI64" i="9"/>
  <c r="BI65" i="9" s="1"/>
  <c r="BH53" i="3"/>
  <c r="BH131" i="3" s="1"/>
  <c r="BE112" i="3"/>
  <c r="BU111" i="3"/>
  <c r="BJ51" i="9"/>
  <c r="BP51" i="9" s="1"/>
  <c r="BJ14" i="9"/>
  <c r="BO100" i="3"/>
  <c r="BU100" i="3" s="1"/>
  <c r="BU102" i="3"/>
  <c r="BU96" i="3"/>
  <c r="BI35" i="14"/>
  <c r="BJ33" i="14"/>
  <c r="BU39" i="3"/>
  <c r="AJ82" i="9" l="1"/>
  <c r="AJ83" i="9" s="1"/>
  <c r="AI5" i="9"/>
  <c r="AI9" i="9" s="1"/>
  <c r="AI22" i="9" s="1"/>
  <c r="AI44" i="9" s="1"/>
  <c r="AI45" i="9" s="1"/>
  <c r="AI88" i="9"/>
  <c r="BI50" i="3"/>
  <c r="BO50" i="3" s="1"/>
  <c r="BU50" i="3" s="1"/>
  <c r="BI46" i="3"/>
  <c r="BI52" i="3"/>
  <c r="BO52" i="3" s="1"/>
  <c r="BU52" i="3" s="1"/>
  <c r="BI47" i="3"/>
  <c r="BO47" i="3" s="1"/>
  <c r="BU47" i="3" s="1"/>
  <c r="BI49" i="3"/>
  <c r="BO49" i="3" s="1"/>
  <c r="BU49" i="3" s="1"/>
  <c r="BI48" i="3"/>
  <c r="BO48" i="3" s="1"/>
  <c r="BU48" i="3" s="1"/>
  <c r="BI51" i="3"/>
  <c r="BO51" i="3" s="1"/>
  <c r="BU51" i="3" s="1"/>
  <c r="BI58" i="3"/>
  <c r="BH57" i="3"/>
  <c r="AZ78" i="9"/>
  <c r="AR67" i="9"/>
  <c r="AR71" i="9" s="1"/>
  <c r="AR80" i="9" s="1"/>
  <c r="AT56" i="9"/>
  <c r="AT59" i="9" s="1"/>
  <c r="AT61" i="9" s="1"/>
  <c r="AT67" i="9" s="1"/>
  <c r="AT71" i="9" s="1"/>
  <c r="AT80" i="9" s="1"/>
  <c r="AT7" i="9"/>
  <c r="BH55" i="3"/>
  <c r="BH138" i="3" s="1"/>
  <c r="AM40" i="9"/>
  <c r="AM42" i="9" s="1"/>
  <c r="AN39" i="9"/>
  <c r="BI83" i="3"/>
  <c r="BI86" i="3"/>
  <c r="BO86" i="3" s="1"/>
  <c r="BU86" i="3" s="1"/>
  <c r="BI81" i="3"/>
  <c r="BI87" i="3"/>
  <c r="BO87" i="3" s="1"/>
  <c r="BU87" i="3" s="1"/>
  <c r="BO79" i="3"/>
  <c r="BU79" i="3" s="1"/>
  <c r="BO41" i="3"/>
  <c r="BU41" i="3" s="1"/>
  <c r="BI42" i="3"/>
  <c r="BO42" i="3" s="1"/>
  <c r="BU42" i="3" s="1"/>
  <c r="AX36" i="9"/>
  <c r="BO36" i="9" s="1"/>
  <c r="BO31" i="9"/>
  <c r="G89" i="17" s="1"/>
  <c r="G91" i="17" s="1"/>
  <c r="BF113" i="3"/>
  <c r="BF114" i="3"/>
  <c r="BH38" i="9"/>
  <c r="BJ34" i="14"/>
  <c r="BJ15" i="9"/>
  <c r="BJ46" i="9"/>
  <c r="BP46" i="9" s="1"/>
  <c r="BP14" i="9"/>
  <c r="BE113" i="3"/>
  <c r="BE114" i="3"/>
  <c r="N56" i="17"/>
  <c r="C15" i="17"/>
  <c r="N54" i="17"/>
  <c r="N55" i="17"/>
  <c r="BU65" i="3"/>
  <c r="BO103" i="3"/>
  <c r="BN40" i="9"/>
  <c r="AL42" i="9"/>
  <c r="BI84" i="3"/>
  <c r="BO84" i="3" s="1"/>
  <c r="BU84" i="3" s="1"/>
  <c r="BI85" i="3"/>
  <c r="BO85" i="3" s="1"/>
  <c r="BU85" i="3" s="1"/>
  <c r="BO19" i="3"/>
  <c r="J49" i="17" s="1"/>
  <c r="BI82" i="3"/>
  <c r="BO82" i="3" s="1"/>
  <c r="BU82" i="3" s="1"/>
  <c r="BK32" i="14"/>
  <c r="BG113" i="3"/>
  <c r="BG114" i="3" s="1"/>
  <c r="BP55" i="9"/>
  <c r="AX78" i="9"/>
  <c r="BO78" i="9" s="1"/>
  <c r="G79" i="17" s="1"/>
  <c r="BO74" i="9"/>
  <c r="BG76" i="9"/>
  <c r="BG78" i="9" s="1"/>
  <c r="BH50" i="9" l="1"/>
  <c r="BH52" i="9" s="1"/>
  <c r="BH76" i="9"/>
  <c r="BH78" i="9" s="1"/>
  <c r="BO83" i="3"/>
  <c r="BU83" i="3" s="1"/>
  <c r="BI123" i="3"/>
  <c r="AU56" i="9"/>
  <c r="AU59" i="9" s="1"/>
  <c r="AU61" i="9" s="1"/>
  <c r="AU67" i="9" s="1"/>
  <c r="AU71" i="9" s="1"/>
  <c r="AU80" i="9" s="1"/>
  <c r="AU7" i="9"/>
  <c r="AN40" i="9"/>
  <c r="AN42" i="9" s="1"/>
  <c r="AO39" i="9"/>
  <c r="BH107" i="3"/>
  <c r="BH130" i="3"/>
  <c r="BU103" i="3"/>
  <c r="H68" i="17"/>
  <c r="N68" i="17" s="1"/>
  <c r="BG50" i="9"/>
  <c r="BG52" i="9" s="1"/>
  <c r="BK33" i="14"/>
  <c r="BK36" i="14"/>
  <c r="BF50" i="9"/>
  <c r="BF52" i="9" s="1"/>
  <c r="BJ64" i="9"/>
  <c r="BP15" i="9"/>
  <c r="H86" i="17" s="1"/>
  <c r="BI43" i="3"/>
  <c r="BI88" i="3"/>
  <c r="BO81" i="3"/>
  <c r="BU81" i="3" s="1"/>
  <c r="BI53" i="3"/>
  <c r="BO46" i="3"/>
  <c r="BU46" i="3" s="1"/>
  <c r="AK82" i="9"/>
  <c r="AK83" i="9" s="1"/>
  <c r="AJ5" i="9"/>
  <c r="AJ9" i="9" s="1"/>
  <c r="AJ22" i="9" s="1"/>
  <c r="AJ44" i="9" s="1"/>
  <c r="AJ45" i="9" s="1"/>
  <c r="AJ88" i="9"/>
  <c r="BN42" i="9"/>
  <c r="C24" i="17"/>
  <c r="C17" i="17"/>
  <c r="BK34" i="14"/>
  <c r="BJ38" i="9" s="1"/>
  <c r="BI38" i="9"/>
  <c r="BJ35" i="14"/>
  <c r="BJ76" i="9" l="1"/>
  <c r="BP38" i="9"/>
  <c r="H93" i="17" s="1"/>
  <c r="BH112" i="3"/>
  <c r="AL82" i="9"/>
  <c r="AK5" i="9"/>
  <c r="AK9" i="9" s="1"/>
  <c r="AK22" i="9" s="1"/>
  <c r="AK44" i="9" s="1"/>
  <c r="AK45" i="9" s="1"/>
  <c r="AK88" i="9"/>
  <c r="BO88" i="3"/>
  <c r="BI105" i="3"/>
  <c r="BJ65" i="9"/>
  <c r="BP65" i="9" s="1"/>
  <c r="H78" i="17" s="1"/>
  <c r="BP64" i="9"/>
  <c r="AO40" i="9"/>
  <c r="AO42" i="9" s="1"/>
  <c r="AP39" i="9"/>
  <c r="BI131" i="3"/>
  <c r="BO53" i="3"/>
  <c r="BI55" i="3"/>
  <c r="BO55" i="3" s="1"/>
  <c r="BI57" i="3"/>
  <c r="BO43" i="3"/>
  <c r="BK35" i="14"/>
  <c r="BI76" i="9"/>
  <c r="BI78" i="9" s="1"/>
  <c r="AV7" i="9"/>
  <c r="BI107" i="3" l="1"/>
  <c r="BI130" i="3"/>
  <c r="BO57" i="3"/>
  <c r="AP40" i="9"/>
  <c r="AP42" i="9" s="1"/>
  <c r="AQ39" i="9"/>
  <c r="BI138" i="3"/>
  <c r="BO105" i="3"/>
  <c r="BU105" i="3" s="1"/>
  <c r="AL83" i="9"/>
  <c r="BN82" i="9"/>
  <c r="F99" i="17" s="1"/>
  <c r="BP76" i="9"/>
  <c r="BJ78" i="9"/>
  <c r="BP78" i="9" s="1"/>
  <c r="H79" i="17" s="1"/>
  <c r="BU55" i="3"/>
  <c r="H62" i="17"/>
  <c r="N62" i="17" s="1"/>
  <c r="BU88" i="3"/>
  <c r="H67" i="17"/>
  <c r="N67" i="17" s="1"/>
  <c r="BU43" i="3"/>
  <c r="H60" i="17"/>
  <c r="N60" i="17" s="1"/>
  <c r="AW56" i="9"/>
  <c r="AW59" i="9" s="1"/>
  <c r="AW61" i="9" s="1"/>
  <c r="AW67" i="9" s="1"/>
  <c r="AW71" i="9" s="1"/>
  <c r="AW80" i="9" s="1"/>
  <c r="AW7" i="9"/>
  <c r="AV56" i="9"/>
  <c r="AV59" i="9" s="1"/>
  <c r="AV61" i="9" s="1"/>
  <c r="AV67" i="9" s="1"/>
  <c r="AV71" i="9" s="1"/>
  <c r="AV80" i="9" s="1"/>
  <c r="H61" i="17"/>
  <c r="N61" i="17" s="1"/>
  <c r="BU53" i="3"/>
  <c r="BH113" i="3"/>
  <c r="BH114" i="3"/>
  <c r="BI50" i="9" l="1"/>
  <c r="BI52" i="9" s="1"/>
  <c r="AQ40" i="9"/>
  <c r="AQ42" i="9" s="1"/>
  <c r="AR39" i="9"/>
  <c r="BI112" i="3"/>
  <c r="BO107" i="3"/>
  <c r="BU57" i="3"/>
  <c r="H64" i="17"/>
  <c r="AX7" i="9"/>
  <c r="AL5" i="9"/>
  <c r="AM82" i="9"/>
  <c r="AM83" i="9" s="1"/>
  <c r="BN83" i="9"/>
  <c r="F100" i="17" s="1"/>
  <c r="F33" i="17" s="1"/>
  <c r="AL88" i="9"/>
  <c r="BN88" i="9" s="1"/>
  <c r="F34" i="17" s="1"/>
  <c r="BO7" i="9" l="1"/>
  <c r="G85" i="17" s="1"/>
  <c r="AY7" i="9"/>
  <c r="BN5" i="9"/>
  <c r="F84" i="17" s="1"/>
  <c r="F87" i="17" s="1"/>
  <c r="AL9" i="9"/>
  <c r="AX56" i="9"/>
  <c r="BI113" i="3"/>
  <c r="BO113" i="3" s="1"/>
  <c r="H72" i="17" s="1"/>
  <c r="N72" i="17" s="1"/>
  <c r="BO112" i="3"/>
  <c r="BU112" i="3" s="1"/>
  <c r="H69" i="17"/>
  <c r="N69" i="17" s="1"/>
  <c r="BU107" i="3"/>
  <c r="AN82" i="9"/>
  <c r="AN83" i="9" s="1"/>
  <c r="AM5" i="9"/>
  <c r="AM9" i="9" s="1"/>
  <c r="AM22" i="9" s="1"/>
  <c r="AM44" i="9" s="1"/>
  <c r="AM88" i="9"/>
  <c r="N64" i="17"/>
  <c r="C20" i="17"/>
  <c r="C22" i="17" s="1"/>
  <c r="C25" i="17" s="1"/>
  <c r="AR40" i="9"/>
  <c r="AR42" i="9" s="1"/>
  <c r="AS39" i="9"/>
  <c r="AS40" i="9" l="1"/>
  <c r="AS42" i="9" s="1"/>
  <c r="AT39" i="9"/>
  <c r="BO56" i="9"/>
  <c r="AX59" i="9"/>
  <c r="AZ7" i="9"/>
  <c r="AZ56" i="9" s="1"/>
  <c r="AZ59" i="9" s="1"/>
  <c r="AZ61" i="9" s="1"/>
  <c r="AZ67" i="9" s="1"/>
  <c r="AZ71" i="9" s="1"/>
  <c r="AZ80" i="9" s="1"/>
  <c r="AO82" i="9"/>
  <c r="AO83" i="9" s="1"/>
  <c r="AN5" i="9"/>
  <c r="AN9" i="9" s="1"/>
  <c r="AN22" i="9" s="1"/>
  <c r="AN44" i="9" s="1"/>
  <c r="AN45" i="9" s="1"/>
  <c r="AN88" i="9"/>
  <c r="BI114" i="3"/>
  <c r="BN9" i="9"/>
  <c r="AL22" i="9"/>
  <c r="AY56" i="9"/>
  <c r="AY59" i="9" s="1"/>
  <c r="AY61" i="9" s="1"/>
  <c r="BJ50" i="9" l="1"/>
  <c r="BO114" i="3"/>
  <c r="AX61" i="9"/>
  <c r="BO59" i="9"/>
  <c r="AY67" i="9"/>
  <c r="AY71" i="9" s="1"/>
  <c r="AY80" i="9" s="1"/>
  <c r="AT40" i="9"/>
  <c r="AT42" i="9" s="1"/>
  <c r="AU39" i="9"/>
  <c r="BN22" i="9"/>
  <c r="AL44" i="9"/>
  <c r="AP82" i="9"/>
  <c r="AP83" i="9" s="1"/>
  <c r="AO88" i="9"/>
  <c r="AO5" i="9"/>
  <c r="AO9" i="9" s="1"/>
  <c r="AO22" i="9" s="1"/>
  <c r="AO44" i="9" s="1"/>
  <c r="AO45" i="9" s="1"/>
  <c r="BA7" i="9"/>
  <c r="AQ82" i="9" l="1"/>
  <c r="AQ83" i="9" s="1"/>
  <c r="AP88" i="9"/>
  <c r="AP5" i="9"/>
  <c r="AP9" i="9" s="1"/>
  <c r="AP22" i="9" s="1"/>
  <c r="AP44" i="9" s="1"/>
  <c r="AP45" i="9" s="1"/>
  <c r="AX67" i="9"/>
  <c r="BO61" i="9"/>
  <c r="G77" i="17" s="1"/>
  <c r="H73" i="17"/>
  <c r="N73" i="17" s="1"/>
  <c r="BU114" i="3"/>
  <c r="BB7" i="9"/>
  <c r="BB56" i="9"/>
  <c r="BB59" i="9" s="1"/>
  <c r="BB61" i="9" s="1"/>
  <c r="BB67" i="9" s="1"/>
  <c r="BB71" i="9" s="1"/>
  <c r="BB80" i="9" s="1"/>
  <c r="BN44" i="9"/>
  <c r="AL45" i="9"/>
  <c r="BN45" i="9" s="1"/>
  <c r="AM45" i="9"/>
  <c r="BJ52" i="9"/>
  <c r="BP52" i="9" s="1"/>
  <c r="BP50" i="9"/>
  <c r="BA56" i="9"/>
  <c r="BA59" i="9" s="1"/>
  <c r="BA61" i="9" s="1"/>
  <c r="AU40" i="9"/>
  <c r="AU42" i="9" s="1"/>
  <c r="AV39" i="9"/>
  <c r="AV40" i="9" l="1"/>
  <c r="AV42" i="9" s="1"/>
  <c r="AW39" i="9"/>
  <c r="BC7" i="9"/>
  <c r="BA67" i="9"/>
  <c r="BA71" i="9" s="1"/>
  <c r="BA80" i="9" s="1"/>
  <c r="AX71" i="9"/>
  <c r="BO67" i="9"/>
  <c r="AR82" i="9"/>
  <c r="AR83" i="9" s="1"/>
  <c r="AQ5" i="9"/>
  <c r="AQ9" i="9" s="1"/>
  <c r="AQ22" i="9" s="1"/>
  <c r="AQ44" i="9" s="1"/>
  <c r="AQ45" i="9" s="1"/>
  <c r="AQ88" i="9"/>
  <c r="BD7" i="9" l="1"/>
  <c r="BD56" i="9" s="1"/>
  <c r="BD59" i="9" s="1"/>
  <c r="BD61" i="9" s="1"/>
  <c r="BD67" i="9" s="1"/>
  <c r="BD71" i="9" s="1"/>
  <c r="BD80" i="9" s="1"/>
  <c r="AX80" i="9"/>
  <c r="BO80" i="9" s="1"/>
  <c r="G80" i="17" s="1"/>
  <c r="BO71" i="9"/>
  <c r="BC56" i="9"/>
  <c r="BC59" i="9" s="1"/>
  <c r="BC61" i="9" s="1"/>
  <c r="AS82" i="9"/>
  <c r="AS83" i="9" s="1"/>
  <c r="AR5" i="9"/>
  <c r="AR9" i="9" s="1"/>
  <c r="AR22" i="9" s="1"/>
  <c r="AR44" i="9" s="1"/>
  <c r="AR45" i="9" s="1"/>
  <c r="AR88" i="9"/>
  <c r="AW40" i="9"/>
  <c r="AW42" i="9" s="1"/>
  <c r="AX39" i="9"/>
  <c r="BO39" i="9" l="1"/>
  <c r="G94" i="17" s="1"/>
  <c r="G95" i="17" s="1"/>
  <c r="G97" i="17" s="1"/>
  <c r="AX40" i="9"/>
  <c r="AY39" i="9"/>
  <c r="AT82" i="9"/>
  <c r="AT83" i="9" s="1"/>
  <c r="AS88" i="9"/>
  <c r="AS5" i="9"/>
  <c r="AS9" i="9" s="1"/>
  <c r="AS22" i="9" s="1"/>
  <c r="AS44" i="9" s="1"/>
  <c r="AS45" i="9" s="1"/>
  <c r="BC67" i="9"/>
  <c r="BC71" i="9" s="1"/>
  <c r="BC80" i="9" s="1"/>
  <c r="BE7" i="9"/>
  <c r="BE56" i="9"/>
  <c r="BE59" i="9" s="1"/>
  <c r="BE61" i="9" s="1"/>
  <c r="BE67" i="9" s="1"/>
  <c r="BE71" i="9" s="1"/>
  <c r="BE80" i="9" s="1"/>
  <c r="AY40" i="9" l="1"/>
  <c r="AY42" i="9" s="1"/>
  <c r="AZ39" i="9"/>
  <c r="BO40" i="9"/>
  <c r="AX42" i="9"/>
  <c r="AU82" i="9"/>
  <c r="AU83" i="9" s="1"/>
  <c r="AT88" i="9"/>
  <c r="AT5" i="9"/>
  <c r="AT9" i="9" s="1"/>
  <c r="AT22" i="9" s="1"/>
  <c r="AT44" i="9" s="1"/>
  <c r="AT45" i="9" s="1"/>
  <c r="BF7" i="9"/>
  <c r="BF56" i="9" s="1"/>
  <c r="BF59" i="9" s="1"/>
  <c r="BF61" i="9" s="1"/>
  <c r="BF67" i="9" l="1"/>
  <c r="BF71" i="9" s="1"/>
  <c r="BF80" i="9" s="1"/>
  <c r="AV82" i="9"/>
  <c r="AV83" i="9" s="1"/>
  <c r="AU5" i="9"/>
  <c r="AU9" i="9" s="1"/>
  <c r="AU22" i="9" s="1"/>
  <c r="AU44" i="9" s="1"/>
  <c r="AU45" i="9" s="1"/>
  <c r="AU88" i="9"/>
  <c r="AZ40" i="9"/>
  <c r="AZ42" i="9" s="1"/>
  <c r="BA39" i="9"/>
  <c r="BG56" i="9"/>
  <c r="BG59" i="9" s="1"/>
  <c r="BG61" i="9" s="1"/>
  <c r="BG67" i="9" s="1"/>
  <c r="BG71" i="9" s="1"/>
  <c r="BG80" i="9" s="1"/>
  <c r="BG7" i="9"/>
  <c r="BO42" i="9"/>
  <c r="AW82" i="9" l="1"/>
  <c r="AW83" i="9" s="1"/>
  <c r="AV5" i="9"/>
  <c r="AV9" i="9" s="1"/>
  <c r="AV22" i="9" s="1"/>
  <c r="AV44" i="9" s="1"/>
  <c r="AV45" i="9" s="1"/>
  <c r="AV88" i="9"/>
  <c r="BA40" i="9"/>
  <c r="BA42" i="9" s="1"/>
  <c r="BB39" i="9"/>
  <c r="BH7" i="9"/>
  <c r="BI7" i="9" l="1"/>
  <c r="BI56" i="9" s="1"/>
  <c r="BI59" i="9" s="1"/>
  <c r="BI61" i="9" s="1"/>
  <c r="BI67" i="9" s="1"/>
  <c r="BI71" i="9" s="1"/>
  <c r="BI80" i="9" s="1"/>
  <c r="BH56" i="9"/>
  <c r="BH59" i="9" s="1"/>
  <c r="BH61" i="9" s="1"/>
  <c r="BH67" i="9" s="1"/>
  <c r="BH71" i="9" s="1"/>
  <c r="BH80" i="9" s="1"/>
  <c r="BB40" i="9"/>
  <c r="BB42" i="9" s="1"/>
  <c r="BC39" i="9"/>
  <c r="AX82" i="9"/>
  <c r="AW5" i="9"/>
  <c r="AW9" i="9" s="1"/>
  <c r="AW22" i="9" s="1"/>
  <c r="AW44" i="9" s="1"/>
  <c r="AW45" i="9" s="1"/>
  <c r="AW88" i="9"/>
  <c r="AX83" i="9" l="1"/>
  <c r="BO82" i="9"/>
  <c r="G99" i="17" s="1"/>
  <c r="BC40" i="9"/>
  <c r="BC42" i="9" s="1"/>
  <c r="BD39" i="9"/>
  <c r="BJ7" i="9"/>
  <c r="BP7" i="9" s="1"/>
  <c r="H85" i="17" s="1"/>
  <c r="BJ56" i="9" l="1"/>
  <c r="AY82" i="9"/>
  <c r="AY83" i="9" s="1"/>
  <c r="AX5" i="9"/>
  <c r="AX88" i="9"/>
  <c r="BO88" i="9" s="1"/>
  <c r="G34" i="17" s="1"/>
  <c r="BO83" i="9"/>
  <c r="G100" i="17" s="1"/>
  <c r="G33" i="17" s="1"/>
  <c r="BD40" i="9"/>
  <c r="BD42" i="9" s="1"/>
  <c r="BE39" i="9"/>
  <c r="BE40" i="9" l="1"/>
  <c r="BE42" i="9" s="1"/>
  <c r="BF39" i="9"/>
  <c r="BO5" i="9"/>
  <c r="G84" i="17" s="1"/>
  <c r="G87" i="17" s="1"/>
  <c r="AX9" i="9"/>
  <c r="AZ82" i="9"/>
  <c r="AZ83" i="9" s="1"/>
  <c r="AY88" i="9"/>
  <c r="AY5" i="9"/>
  <c r="AY9" i="9" s="1"/>
  <c r="AY22" i="9" s="1"/>
  <c r="AY44" i="9" s="1"/>
  <c r="BP56" i="9"/>
  <c r="BJ59" i="9"/>
  <c r="BO9" i="9" l="1"/>
  <c r="AX22" i="9"/>
  <c r="BF40" i="9"/>
  <c r="BF42" i="9" s="1"/>
  <c r="BG39" i="9"/>
  <c r="BJ61" i="9"/>
  <c r="BP59" i="9"/>
  <c r="BA82" i="9"/>
  <c r="BA83" i="9" s="1"/>
  <c r="AZ88" i="9"/>
  <c r="AZ5" i="9"/>
  <c r="AZ9" i="9" s="1"/>
  <c r="AZ22" i="9" s="1"/>
  <c r="AZ44" i="9" s="1"/>
  <c r="AZ45" i="9" s="1"/>
  <c r="BB82" i="9" l="1"/>
  <c r="BB83" i="9" s="1"/>
  <c r="BA5" i="9"/>
  <c r="BA9" i="9" s="1"/>
  <c r="BA22" i="9" s="1"/>
  <c r="BA44" i="9" s="1"/>
  <c r="BA45" i="9" s="1"/>
  <c r="BA88" i="9"/>
  <c r="BJ67" i="9"/>
  <c r="BP61" i="9"/>
  <c r="H77" i="17" s="1"/>
  <c r="BO22" i="9"/>
  <c r="AX44" i="9"/>
  <c r="BG40" i="9"/>
  <c r="BG42" i="9" s="1"/>
  <c r="BH39" i="9"/>
  <c r="BJ71" i="9" l="1"/>
  <c r="BP67" i="9"/>
  <c r="BO44" i="9"/>
  <c r="AX45" i="9"/>
  <c r="BO45" i="9" s="1"/>
  <c r="AY45" i="9"/>
  <c r="BH40" i="9"/>
  <c r="BH42" i="9" s="1"/>
  <c r="BI39" i="9"/>
  <c r="BC82" i="9"/>
  <c r="BC83" i="9" s="1"/>
  <c r="BB5" i="9"/>
  <c r="BB9" i="9" s="1"/>
  <c r="BB22" i="9" s="1"/>
  <c r="BB44" i="9" s="1"/>
  <c r="BB45" i="9" s="1"/>
  <c r="BB88" i="9"/>
  <c r="BI40" i="9" l="1"/>
  <c r="BI42" i="9" s="1"/>
  <c r="BJ39" i="9"/>
  <c r="BD82" i="9"/>
  <c r="BD83" i="9" s="1"/>
  <c r="BC88" i="9"/>
  <c r="BC5" i="9"/>
  <c r="BC9" i="9" s="1"/>
  <c r="BC22" i="9" s="1"/>
  <c r="BC44" i="9" s="1"/>
  <c r="BC45" i="9" s="1"/>
  <c r="BJ80" i="9"/>
  <c r="BP80" i="9" s="1"/>
  <c r="H80" i="17" s="1"/>
  <c r="BP71" i="9"/>
  <c r="BE82" i="9" l="1"/>
  <c r="BE83" i="9" s="1"/>
  <c r="BD5" i="9"/>
  <c r="BD9" i="9" s="1"/>
  <c r="BD22" i="9" s="1"/>
  <c r="BD44" i="9" s="1"/>
  <c r="BD45" i="9" s="1"/>
  <c r="BD88" i="9"/>
  <c r="BP39" i="9"/>
  <c r="H94" i="17" s="1"/>
  <c r="H95" i="17" s="1"/>
  <c r="H97" i="17" s="1"/>
  <c r="BJ40" i="9"/>
  <c r="BP40" i="9" l="1"/>
  <c r="BJ42" i="9"/>
  <c r="BF82" i="9"/>
  <c r="BF83" i="9" s="1"/>
  <c r="BE5" i="9"/>
  <c r="BE9" i="9" s="1"/>
  <c r="BE22" i="9" s="1"/>
  <c r="BE44" i="9" s="1"/>
  <c r="BE45" i="9" s="1"/>
  <c r="BE88" i="9"/>
  <c r="BG82" i="9" l="1"/>
  <c r="BG83" i="9" s="1"/>
  <c r="BF5" i="9"/>
  <c r="BF9" i="9" s="1"/>
  <c r="BF22" i="9" s="1"/>
  <c r="BF44" i="9" s="1"/>
  <c r="BF45" i="9" s="1"/>
  <c r="BF88" i="9"/>
  <c r="BP42" i="9"/>
  <c r="BH82" i="9" l="1"/>
  <c r="BH83" i="9" s="1"/>
  <c r="BG5" i="9"/>
  <c r="BG9" i="9" s="1"/>
  <c r="BG22" i="9" s="1"/>
  <c r="BG44" i="9" s="1"/>
  <c r="BG45" i="9" s="1"/>
  <c r="BG88" i="9"/>
  <c r="BI82" i="9" l="1"/>
  <c r="BI83" i="9" s="1"/>
  <c r="BH5" i="9"/>
  <c r="BH9" i="9" s="1"/>
  <c r="BH22" i="9" s="1"/>
  <c r="BH44" i="9" s="1"/>
  <c r="BH45" i="9" s="1"/>
  <c r="BH88" i="9"/>
  <c r="BJ82" i="9" l="1"/>
  <c r="BI5" i="9"/>
  <c r="BI9" i="9" s="1"/>
  <c r="BI22" i="9" s="1"/>
  <c r="BI44" i="9" s="1"/>
  <c r="BI45" i="9" s="1"/>
  <c r="BI88" i="9"/>
  <c r="BJ83" i="9" l="1"/>
  <c r="BP82" i="9"/>
  <c r="H99" i="17" s="1"/>
  <c r="BJ5" i="9" l="1"/>
  <c r="BJ88" i="9"/>
  <c r="BP88" i="9" s="1"/>
  <c r="H34" i="17" s="1"/>
  <c r="BP83" i="9"/>
  <c r="H100" i="17" s="1"/>
  <c r="H33" i="17" s="1"/>
  <c r="BP5" i="9" l="1"/>
  <c r="H84" i="17" s="1"/>
  <c r="H87" i="17" s="1"/>
  <c r="BJ9" i="9"/>
  <c r="BP9" i="9" l="1"/>
  <c r="BJ22" i="9"/>
  <c r="BP22" i="9" l="1"/>
  <c r="BJ44" i="9"/>
  <c r="BJ45" i="9" l="1"/>
  <c r="BP45" i="9" s="1"/>
  <c r="BP4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Hammer</author>
    <author>Jonathan Ward</author>
  </authors>
  <commentList>
    <comment ref="C9" authorId="0" shapeId="0" xr:uid="{00000000-0006-0000-0100-000001000000}">
      <text>
        <r>
          <rPr>
            <sz val="9"/>
            <color indexed="81"/>
            <rFont val="Tahoma"/>
            <family val="2"/>
          </rPr>
          <t xml:space="preserve">Enter the hourly rate you can charge the client. For government contracts, this is set by the state, for private contracts, market rates will vary. </t>
        </r>
      </text>
    </comment>
    <comment ref="C13" authorId="0" shapeId="0" xr:uid="{00000000-0006-0000-0100-000002000000}">
      <text>
        <r>
          <rPr>
            <sz val="9"/>
            <color indexed="81"/>
            <rFont val="Tahoma"/>
            <family val="2"/>
          </rPr>
          <t xml:space="preserve">How many hours will the typical client receive care? This can vary widely, but is generally between 2 and 6 hours. </t>
        </r>
      </text>
    </comment>
    <comment ref="C17" authorId="0" shapeId="0" xr:uid="{00000000-0006-0000-0100-000003000000}">
      <text>
        <r>
          <rPr>
            <sz val="9"/>
            <color indexed="81"/>
            <rFont val="Tahoma"/>
            <family val="2"/>
          </rPr>
          <t xml:space="preserve">How many times a week will you provide services to the typical client? Some require services every day, while others only once or twice a week. </t>
        </r>
      </text>
    </comment>
    <comment ref="C21" authorId="0" shapeId="0" xr:uid="{00000000-0006-0000-0100-000004000000}">
      <text>
        <r>
          <rPr>
            <sz val="9"/>
            <color indexed="81"/>
            <rFont val="Tahoma"/>
            <family val="2"/>
          </rPr>
          <t xml:space="preserve">How many months will the typical client receive services? This figure will vary depending upon the type of care provided. </t>
        </r>
      </text>
    </comment>
    <comment ref="C23" authorId="0" shapeId="0" xr:uid="{00000000-0006-0000-0100-000005000000}">
      <text>
        <r>
          <rPr>
            <sz val="9"/>
            <color indexed="81"/>
            <rFont val="Tahoma"/>
            <family val="2"/>
          </rPr>
          <t xml:space="preserve">How much time is there between clients? This will vary depending on whether the area is rural, suburban, or urban. </t>
        </r>
      </text>
    </comment>
    <comment ref="C26" authorId="0" shapeId="0" xr:uid="{00000000-0006-0000-0100-000006000000}">
      <text>
        <r>
          <rPr>
            <sz val="9"/>
            <color indexed="81"/>
            <rFont val="Tahoma"/>
            <family val="2"/>
          </rPr>
          <t>How many hours will the typical workday be for Aides? Along with the average length of visit, this number is used to determine how many clients you can see in a single day.</t>
        </r>
        <r>
          <rPr>
            <b/>
            <sz val="9"/>
            <color indexed="81"/>
            <rFont val="Tahoma"/>
            <family val="2"/>
          </rPr>
          <t xml:space="preserve"> </t>
        </r>
      </text>
    </comment>
    <comment ref="D59" authorId="1" shapeId="0" xr:uid="{00000000-0006-0000-0100-000007000000}">
      <text>
        <r>
          <rPr>
            <b/>
            <sz val="9"/>
            <color indexed="81"/>
            <rFont val="Tahoma"/>
            <family val="2"/>
          </rPr>
          <t>RN Costs:</t>
        </r>
        <r>
          <rPr>
            <sz val="9"/>
            <color indexed="81"/>
            <rFont val="Tahoma"/>
            <family val="2"/>
          </rPr>
          <t xml:space="preserve">
</t>
        </r>
        <r>
          <rPr>
            <i/>
            <sz val="9"/>
            <color indexed="81"/>
            <rFont val="Tahoma"/>
            <family val="2"/>
          </rPr>
          <t>Assumed to be zero, but modifiable here to allow variation within firm revenue structure, state regulations, etc.</t>
        </r>
      </text>
    </comment>
    <comment ref="D60" authorId="0" shapeId="0" xr:uid="{00000000-0006-0000-0100-000008000000}">
      <text>
        <r>
          <rPr>
            <b/>
            <sz val="9"/>
            <color indexed="81"/>
            <rFont val="Tahoma"/>
            <family val="2"/>
          </rPr>
          <t xml:space="preserve">Required by Law: </t>
        </r>
        <r>
          <rPr>
            <i/>
            <sz val="9"/>
            <color indexed="81"/>
            <rFont val="Tahoma"/>
            <family val="2"/>
          </rPr>
          <t xml:space="preserve">The default value is the average rate for a new company is the state you selected. You can get a quote from an insurance agent. </t>
        </r>
      </text>
    </comment>
    <comment ref="D63" authorId="0" shapeId="0" xr:uid="{00000000-0006-0000-0100-000009000000}">
      <text>
        <r>
          <rPr>
            <b/>
            <sz val="9"/>
            <color indexed="81"/>
            <rFont val="Tahoma"/>
            <family val="2"/>
          </rPr>
          <t xml:space="preserve">Required by Law: </t>
        </r>
        <r>
          <rPr>
            <sz val="9"/>
            <color indexed="81"/>
            <rFont val="Tahoma"/>
            <family val="2"/>
          </rPr>
          <t xml:space="preserve">Workers Comp rates vary widely by state and are set for a specific occupation. You can get a quote from an insurance company or in some states, rates are published on the web. </t>
        </r>
      </text>
    </comment>
    <comment ref="D65" authorId="0" shapeId="0" xr:uid="{00000000-0006-0000-0100-00000A000000}">
      <text>
        <r>
          <rPr>
            <b/>
            <sz val="9"/>
            <color indexed="81"/>
            <rFont val="Tahoma"/>
            <family val="2"/>
          </rPr>
          <t xml:space="preserve">Can be Optional: </t>
        </r>
        <r>
          <rPr>
            <sz val="9"/>
            <color indexed="81"/>
            <rFont val="Tahoma"/>
            <family val="2"/>
          </rPr>
          <t>Offering health insurance is not always required, although firms with more than 50 employees may have to pay fines for not offering insurance.</t>
        </r>
      </text>
    </comment>
    <comment ref="D67" authorId="0" shapeId="0" xr:uid="{00000000-0006-0000-0100-00000B000000}">
      <text>
        <r>
          <rPr>
            <b/>
            <sz val="9"/>
            <color indexed="81"/>
            <rFont val="Tahoma"/>
            <family val="2"/>
          </rPr>
          <t xml:space="preserve">Optional: </t>
        </r>
        <r>
          <rPr>
            <sz val="9"/>
            <color indexed="81"/>
            <rFont val="Tahoma"/>
            <family val="2"/>
          </rPr>
          <t>Offering paid time off is optional, but having a paid leave policy helps create a quality work environment.</t>
        </r>
      </text>
    </comment>
    <comment ref="D68" authorId="0" shapeId="0" xr:uid="{00000000-0006-0000-0100-00000C000000}">
      <text>
        <r>
          <rPr>
            <b/>
            <sz val="9"/>
            <color indexed="81"/>
            <rFont val="Tahoma"/>
            <family val="2"/>
          </rPr>
          <t xml:space="preserve">Optional: </t>
        </r>
        <r>
          <rPr>
            <sz val="9"/>
            <color indexed="81"/>
            <rFont val="Tahoma"/>
            <family val="2"/>
          </rPr>
          <t xml:space="preserve">Offering disability insurance is best practice, but is not required. </t>
        </r>
      </text>
    </comment>
    <comment ref="D69" authorId="0" shapeId="0" xr:uid="{00000000-0006-0000-0100-00000D000000}">
      <text>
        <r>
          <rPr>
            <b/>
            <sz val="9"/>
            <color indexed="81"/>
            <rFont val="Tahoma"/>
            <family val="2"/>
          </rPr>
          <t xml:space="preserve">Optional: </t>
        </r>
        <r>
          <rPr>
            <sz val="9"/>
            <color indexed="81"/>
            <rFont val="Tahoma"/>
            <family val="2"/>
          </rPr>
          <t xml:space="preserve">Establishing a retirement plan is a best practice, however, it is not required. </t>
        </r>
      </text>
    </comment>
    <comment ref="D95" authorId="0" shapeId="0" xr:uid="{00000000-0006-0000-0100-00000E000000}">
      <text>
        <r>
          <rPr>
            <b/>
            <sz val="9"/>
            <color indexed="81"/>
            <rFont val="Tahoma"/>
            <family val="2"/>
          </rPr>
          <t>Source: https://www.nahc.org/assets/1/7/DSOBenchmarkHHFMA1-21-15.pdf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Hammer</author>
  </authors>
  <commentList>
    <comment ref="B34" authorId="0" shapeId="0" xr:uid="{00000000-0006-0000-0200-000001000000}">
      <text>
        <r>
          <rPr>
            <sz val="9"/>
            <color indexed="81"/>
            <rFont val="Tahoma"/>
            <family val="2"/>
          </rPr>
          <t>This figure only looks at actual cash, not Accounts Receivables, which are like cash.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Hammer</author>
  </authors>
  <commentList>
    <comment ref="B45" authorId="0" shapeId="0" xr:uid="{00000000-0006-0000-0900-000001000000}">
      <text>
        <r>
          <rPr>
            <b/>
            <sz val="9"/>
            <color indexed="81"/>
            <rFont val="Tahoma"/>
            <family val="2"/>
          </rPr>
          <t>Deleted: 20,600 or $22,100 for high tax group employers</t>
        </r>
      </text>
    </comment>
  </commentList>
</comments>
</file>

<file path=xl/sharedStrings.xml><?xml version="1.0" encoding="utf-8"?>
<sst xmlns="http://schemas.openxmlformats.org/spreadsheetml/2006/main" count="853" uniqueCount="558">
  <si>
    <t>Software</t>
  </si>
  <si>
    <t>Working Capital</t>
  </si>
  <si>
    <t>pre-paid insurance</t>
  </si>
  <si>
    <t>Pre-opening staffing</t>
  </si>
  <si>
    <t>Software training</t>
  </si>
  <si>
    <t>Legal/Accting</t>
  </si>
  <si>
    <t>Website</t>
  </si>
  <si>
    <t>Promotion/Advertising</t>
  </si>
  <si>
    <t>Board training</t>
  </si>
  <si>
    <t xml:space="preserve">High </t>
  </si>
  <si>
    <t>Low</t>
  </si>
  <si>
    <t>Staff phones/ipads</t>
  </si>
  <si>
    <t>Equipment</t>
  </si>
  <si>
    <t>Pre-paid rent</t>
  </si>
  <si>
    <t>Office furniture, equip</t>
  </si>
  <si>
    <t>Licensing/Permits</t>
  </si>
  <si>
    <t xml:space="preserve">Note: Estimated start-up cost of 3 "best" franchises are </t>
  </si>
  <si>
    <t>Brightstar</t>
  </si>
  <si>
    <t>Synergy</t>
  </si>
  <si>
    <t>Right at Home</t>
  </si>
  <si>
    <t>All include franchise fee of about $50,000 but do NOT include any salary or profit for manager/owner</t>
  </si>
  <si>
    <t>also does not include working capital for payroll, as there are minimum financial requirements for owners</t>
  </si>
  <si>
    <t>$50,000 franchise fee; 5-6% royalty</t>
  </si>
  <si>
    <t>$49,500 is franchise fee; includes software and training, advertising, etc.</t>
  </si>
  <si>
    <t>Median according to article 2014 was $101,900</t>
  </si>
  <si>
    <t>Staff training</t>
  </si>
  <si>
    <t>Most franchises take 6-9 mo to break even -- should we work in more working  capial?</t>
  </si>
  <si>
    <t>GM of 30-40% after first year</t>
  </si>
  <si>
    <t>Notes:</t>
  </si>
  <si>
    <t xml:space="preserve">$45,00 franchise fee </t>
  </si>
  <si>
    <t>Office Staff Salary</t>
  </si>
  <si>
    <t>Year 1</t>
  </si>
  <si>
    <t>Year 2</t>
  </si>
  <si>
    <t>Year 3</t>
  </si>
  <si>
    <t>Year 4</t>
  </si>
  <si>
    <t>Year 5</t>
  </si>
  <si>
    <t>Revenues</t>
  </si>
  <si>
    <t>Month 1</t>
  </si>
  <si>
    <t>Month 2</t>
  </si>
  <si>
    <t>Month 3</t>
  </si>
  <si>
    <t>Month 4</t>
  </si>
  <si>
    <t>Month 5</t>
  </si>
  <si>
    <t>Month 6</t>
  </si>
  <si>
    <t>Month 7</t>
  </si>
  <si>
    <t>Month 8</t>
  </si>
  <si>
    <t>Month 9</t>
  </si>
  <si>
    <t>Month 10</t>
  </si>
  <si>
    <t>Month 11</t>
  </si>
  <si>
    <t>Month 12</t>
  </si>
  <si>
    <t>Total Revenues</t>
  </si>
  <si>
    <t>Direct Service Staff</t>
  </si>
  <si>
    <t>Social Security &amp; Medicare</t>
  </si>
  <si>
    <t>Workers Compensation</t>
  </si>
  <si>
    <t>Health Care Insurance</t>
  </si>
  <si>
    <t>Paid Time Off</t>
  </si>
  <si>
    <t>Gross Margin</t>
  </si>
  <si>
    <t xml:space="preserve">Benefits </t>
  </si>
  <si>
    <t>Miscellaneous</t>
  </si>
  <si>
    <t>Interest Expense</t>
  </si>
  <si>
    <t>Earnings Before Income Taxes</t>
  </si>
  <si>
    <t>Provision For Income Taxes</t>
  </si>
  <si>
    <t>NET PROFIT (LOSS)</t>
  </si>
  <si>
    <t>Cumulative Net Profit Excluding Dividends</t>
  </si>
  <si>
    <t>Dividend</t>
  </si>
  <si>
    <t>Public Programs</t>
  </si>
  <si>
    <t>Private Pay</t>
  </si>
  <si>
    <t>FUTA/SUTA</t>
  </si>
  <si>
    <t>Executive Director</t>
  </si>
  <si>
    <t>Office Staff</t>
  </si>
  <si>
    <t>Coordinators</t>
  </si>
  <si>
    <t>Total Salaries</t>
  </si>
  <si>
    <t>Number of Public Pay Clients</t>
  </si>
  <si>
    <t>Number of Private Pay Clients</t>
  </si>
  <si>
    <t>Other Income/Expenses</t>
  </si>
  <si>
    <t>EBITDA</t>
  </si>
  <si>
    <t>Retirement</t>
  </si>
  <si>
    <t>US Average</t>
  </si>
  <si>
    <t>Weeks per month</t>
  </si>
  <si>
    <t>Total Clients</t>
  </si>
  <si>
    <t>Consulting</t>
  </si>
  <si>
    <t>higher rate if new</t>
  </si>
  <si>
    <t xml:space="preserve">  </t>
  </si>
  <si>
    <t>Complete all fields that are shaded:</t>
  </si>
  <si>
    <t>Yellow</t>
  </si>
  <si>
    <t>Orange</t>
  </si>
  <si>
    <t>Green</t>
  </si>
  <si>
    <t>default entry, check this box:</t>
  </si>
  <si>
    <t>Default can be over-written; to return to</t>
  </si>
  <si>
    <t>Spreadsheet will default to open to this page</t>
  </si>
  <si>
    <t>These fields contain a default entry:</t>
  </si>
  <si>
    <t>Other</t>
  </si>
  <si>
    <t xml:space="preserve">INCOME STATEMENT   </t>
  </si>
  <si>
    <t>Other Hours</t>
  </si>
  <si>
    <t>Benefits</t>
  </si>
  <si>
    <t>Total Cost of Services</t>
  </si>
  <si>
    <t>Administrative Salaries</t>
  </si>
  <si>
    <t>RN</t>
  </si>
  <si>
    <t>Overhead</t>
  </si>
  <si>
    <t>Recruitment/Screening</t>
  </si>
  <si>
    <t>Board &amp; Member Expenses</t>
  </si>
  <si>
    <t>Professional Services</t>
  </si>
  <si>
    <t>Total Operating Expenses</t>
  </si>
  <si>
    <t>Travel Reimbursement</t>
  </si>
  <si>
    <t>BALANCE SHEET</t>
  </si>
  <si>
    <t>Total FTE Staff</t>
  </si>
  <si>
    <t>STAFF and CLIENTS</t>
  </si>
  <si>
    <t>CASH FLOW</t>
  </si>
  <si>
    <t>These are just notes for comparison -- not to go in final</t>
  </si>
  <si>
    <t>New empl. screening</t>
  </si>
  <si>
    <t>Medical supplies/misc</t>
  </si>
  <si>
    <t>Total Start-up Expense:</t>
  </si>
  <si>
    <t>Cash</t>
  </si>
  <si>
    <t>Accounts Receivable</t>
  </si>
  <si>
    <t>Other Current Assets</t>
  </si>
  <si>
    <t>Net Equipment</t>
  </si>
  <si>
    <t>INCOME STATEMENT</t>
  </si>
  <si>
    <t>Excluding Dividends</t>
  </si>
  <si>
    <t xml:space="preserve">Cumulative Net Profit Excluding </t>
  </si>
  <si>
    <t>Total Current Assets</t>
  </si>
  <si>
    <t>Total Assets</t>
  </si>
  <si>
    <t>Other Assets</t>
  </si>
  <si>
    <t>Accounts Payable</t>
  </si>
  <si>
    <t>Loans Payable</t>
  </si>
  <si>
    <t>Accrued payroll, other</t>
  </si>
  <si>
    <t>Total Liabilities</t>
  </si>
  <si>
    <t>Mbr Capital Stock</t>
  </si>
  <si>
    <t>Retained Earnings</t>
  </si>
  <si>
    <t>Profit/(Loss) Current Year</t>
  </si>
  <si>
    <t>Total Stockholder Equity</t>
  </si>
  <si>
    <t>Total Liabilities &amp; Equity</t>
  </si>
  <si>
    <t>Beginning Cash</t>
  </si>
  <si>
    <t>Profit/(Loss) YTD</t>
  </si>
  <si>
    <t>Dec/(Inc) Accts Receivable</t>
  </si>
  <si>
    <t>(Dec)/Inc Accts Payable</t>
  </si>
  <si>
    <t>(Dec)/Inc Accrued Payroll</t>
  </si>
  <si>
    <t>Add back Interest</t>
  </si>
  <si>
    <t>Add back Depreciation</t>
  </si>
  <si>
    <t>(New Equipment)</t>
  </si>
  <si>
    <t>New Member Equity</t>
  </si>
  <si>
    <t>(Debt Service)</t>
  </si>
  <si>
    <t>End Cash</t>
  </si>
  <si>
    <t>Number of Employees</t>
  </si>
  <si>
    <t>FTEs Direct Care Workers</t>
  </si>
  <si>
    <t>FTEs Coordinators</t>
  </si>
  <si>
    <t>FTEs Mgmt/Admin staff</t>
  </si>
  <si>
    <t>Revenue Growth</t>
  </si>
  <si>
    <t>BENCHMARKS</t>
  </si>
  <si>
    <t>Growth Client Hours</t>
  </si>
  <si>
    <t>Total Client Hours</t>
  </si>
  <si>
    <t xml:space="preserve">Others . . . . </t>
  </si>
  <si>
    <t>Rev per Direct Care Hr</t>
  </si>
  <si>
    <t>Div per Direct Care Hr</t>
  </si>
  <si>
    <t>Total Dividends Paid</t>
  </si>
  <si>
    <t>Entries in Blue are hard-entered;</t>
  </si>
  <si>
    <t>Entries in Black are formula-driven.</t>
  </si>
  <si>
    <t>Desks, chairs, computers, printers, phones etc. 3-4 office staff</t>
  </si>
  <si>
    <t>Minimum Quickbooks, Office; rec. scheduling, accounting</t>
  </si>
  <si>
    <t>Depends on how many staff in field; est start with 15 @ $500</t>
  </si>
  <si>
    <t xml:space="preserve">60-90 days of ED plus 2 weeks of add'l office staff </t>
  </si>
  <si>
    <t>Sets up systems etc. could be RCDG center - best practice is minimum 2 people understand systems</t>
  </si>
  <si>
    <t>Minium requirement depends on state; best practice is to exceed minimum</t>
  </si>
  <si>
    <t>Based on 20 screens, 15 hires</t>
  </si>
  <si>
    <t>how much is scheduling software???</t>
  </si>
  <si>
    <t>How much is this???</t>
  </si>
  <si>
    <t>Depends on if there is scheduling software</t>
  </si>
  <si>
    <t>Note best practice is to use an outside accountant</t>
  </si>
  <si>
    <t>need to check on this cost</t>
  </si>
  <si>
    <t>5% of expenses</t>
  </si>
  <si>
    <t>60 days payroll</t>
  </si>
  <si>
    <t>15 employees, $11 hr, 30 hrs per week plus ED all with 20% benefits - this is permanent working capital needed to cover receivables</t>
  </si>
  <si>
    <t>This amount is determined by income statement projections and breakeven analysis</t>
  </si>
  <si>
    <t>Add'l Working Capital</t>
  </si>
  <si>
    <t>Total Needed:</t>
  </si>
  <si>
    <t>Percent of surplus shared with members</t>
  </si>
  <si>
    <t>Accounts Receivable - trade</t>
  </si>
  <si>
    <t>Prepaid Expenses</t>
  </si>
  <si>
    <t>Computers, Technology</t>
  </si>
  <si>
    <t>(Less) accumulared depreciation</t>
  </si>
  <si>
    <t>Total Fixed Assets</t>
  </si>
  <si>
    <t>TOTAL ASSETS</t>
  </si>
  <si>
    <t>Accounts payable</t>
  </si>
  <si>
    <t>Accrued expenses - payroll</t>
  </si>
  <si>
    <t>Accrued expenses - other</t>
  </si>
  <si>
    <t>Current portion of LT debt</t>
  </si>
  <si>
    <t>Total Current Liabilities</t>
  </si>
  <si>
    <t>Long term debt</t>
  </si>
  <si>
    <t>Other liabilities</t>
  </si>
  <si>
    <t>Member capital stock</t>
  </si>
  <si>
    <t xml:space="preserve">Retained Earnings   </t>
  </si>
  <si>
    <t>Total Shareholder Equity</t>
  </si>
  <si>
    <t>TOTAL LIABILITIES &amp; EQUITY</t>
  </si>
  <si>
    <t>Line of credit balance</t>
  </si>
  <si>
    <t>In-Service Training hours</t>
  </si>
  <si>
    <t>Total Direct Care Wages</t>
  </si>
  <si>
    <t>Benefit rate</t>
  </si>
  <si>
    <t>What should this be?</t>
  </si>
  <si>
    <t>Overtime</t>
  </si>
  <si>
    <t>Average Length of Visit</t>
  </si>
  <si>
    <t>Public</t>
  </si>
  <si>
    <t>Private</t>
  </si>
  <si>
    <t>Average Rate Per Hour</t>
  </si>
  <si>
    <t xml:space="preserve">Public </t>
  </si>
  <si>
    <t>Average Visits / Week</t>
  </si>
  <si>
    <t xml:space="preserve">Average Travel Time </t>
  </si>
  <si>
    <t>Shift Length</t>
  </si>
  <si>
    <t>Number of Clients</t>
  </si>
  <si>
    <t xml:space="preserve">Step One: Enter Assumptions about Revenues and Clients </t>
  </si>
  <si>
    <t>Clients</t>
  </si>
  <si>
    <t>Clients at Beginning</t>
  </si>
  <si>
    <t>New Clients</t>
  </si>
  <si>
    <t>Public Clients for Period</t>
  </si>
  <si>
    <t>Private Clients for Period</t>
  </si>
  <si>
    <t>Aide Care Hours</t>
  </si>
  <si>
    <t>Aide Travel Hours</t>
  </si>
  <si>
    <t>Average Travel per Client</t>
  </si>
  <si>
    <t>Federal Unemployment</t>
  </si>
  <si>
    <t>State Unemployment</t>
  </si>
  <si>
    <t>FICA</t>
  </si>
  <si>
    <t>Soc. Sec. Max. Salary</t>
  </si>
  <si>
    <t>FUTA</t>
  </si>
  <si>
    <t>FUTA basis</t>
  </si>
  <si>
    <t>SUTA basis</t>
  </si>
  <si>
    <t>Annual Wage Increase</t>
  </si>
  <si>
    <t>State Unemployment Tax Rates, 2014</t>
  </si>
  <si>
    <t>Minimum Rate [1]</t>
  </si>
  <si>
    <t>Maximum Rate [1]</t>
  </si>
  <si>
    <t>Alabama</t>
  </si>
  <si>
    <t>Alaska</t>
  </si>
  <si>
    <t xml:space="preserve">Arizona </t>
  </si>
  <si>
    <t>Arkansas</t>
  </si>
  <si>
    <t>California</t>
  </si>
  <si>
    <t>Colorado</t>
  </si>
  <si>
    <t>Connecticut</t>
  </si>
  <si>
    <t>Delaware</t>
  </si>
  <si>
    <t xml:space="preserve">District of Columbia </t>
  </si>
  <si>
    <t>Florida</t>
  </si>
  <si>
    <t>Georgia</t>
  </si>
  <si>
    <t>Hawaii</t>
  </si>
  <si>
    <t xml:space="preserve">Idaho </t>
  </si>
  <si>
    <t>Illinois</t>
  </si>
  <si>
    <t>Indiana</t>
  </si>
  <si>
    <t>Iowa</t>
  </si>
  <si>
    <t>Kansas</t>
  </si>
  <si>
    <t>Kentucky</t>
  </si>
  <si>
    <t>Louisiana</t>
  </si>
  <si>
    <t>Maine</t>
  </si>
  <si>
    <t>Maryland</t>
  </si>
  <si>
    <t>Massachusetts</t>
  </si>
  <si>
    <t>Michigan</t>
  </si>
  <si>
    <t>Minnesota</t>
  </si>
  <si>
    <t>Mississippi</t>
  </si>
  <si>
    <t>Missouri</t>
  </si>
  <si>
    <t>Montana</t>
  </si>
  <si>
    <t xml:space="preserve">Nebraska </t>
  </si>
  <si>
    <t>Nevada</t>
  </si>
  <si>
    <t>New Hampshire</t>
  </si>
  <si>
    <t>New Jersey</t>
  </si>
  <si>
    <t>New Mexico</t>
  </si>
  <si>
    <t>New York</t>
  </si>
  <si>
    <t>North Carolina</t>
  </si>
  <si>
    <t>North Dakota</t>
  </si>
  <si>
    <t>Ohio</t>
  </si>
  <si>
    <t>Oklahoma</t>
  </si>
  <si>
    <t>Oregon</t>
  </si>
  <si>
    <t>Pennsylvania</t>
  </si>
  <si>
    <t>Rhode Island</t>
  </si>
  <si>
    <t>Texas</t>
  </si>
  <si>
    <t>Utah</t>
  </si>
  <si>
    <t xml:space="preserve">Vermont </t>
  </si>
  <si>
    <t>Virginia</t>
  </si>
  <si>
    <t>Washington</t>
  </si>
  <si>
    <t>West Virginia</t>
  </si>
  <si>
    <t>Wisconsin</t>
  </si>
  <si>
    <t>Wyoming</t>
  </si>
  <si>
    <t>Industry Avg: Industry Average</t>
  </si>
  <si>
    <t>[1] Rates apply only to experience rated employers and do not include applicable non UI taxes, surtaxes, penalties, or surcharges. In most states, rate year 2013 begins on Jan 1, 2013, and ends on Dec 31, 2013. In NH, NJ, TN, and VT rate year 2013 begins on July 1, 2013 and ends on June 30, 2014.  All tax rates for 2013 are posted in the July issue.  For ME there is an additional 0.06% for the Competitive Skills Scholarship Fund on all employer rates. Rates for IL include the fund building surcharge. For MI, an obligation assessment is calculated for each experience rate and is added to each employer’s rate.</t>
  </si>
  <si>
    <t xml:space="preserve">[2] New employer rate shown is the basic rate. Higher rates may apply depending on industry classification and/or other factors: 
AR (there is an additional assessment of 2.0% for employers having a deficit rate for 2 years and 4.0% additional assesment for employers having a deficit rate more than 2 years);     
CO (experience-related employers pay an additional 19.39% of base rate for bond principal repayment);                                                                                                                                                   DE (construction employers pay an avg industry rate);
DC, IL (5.25% construction employers, 4.65% manufacturing, &amp; 4.75% mining which includes the fund building surcharge);
IN (1.60% new governmental employers);
IA (8.5% construction employers and 1.1% new nonconstruction employers);
KS (6.0% construction employers);
KY (foreign &amp; domestic construction firms receive maximum rate);
MA (9.49% new construction employers);
ME (predetermined yield);
MD (foreign contractors assigned avg industry rate, and in 2013 new construction employers headquartered in another state pay a 10.5% avg industry rate);
MI (construction employers receive industry rate);
MN (high experience rating industries are assigned a rate of 9.69% plus base rate, assessments, and fees);
MT, MO (greater of 3.51% or InAvg);
NE (6.49% new construction industry employers not eligible for experience rating);
NJ, NY (highest rate assigned to employers with positive account balances or 3.4%, whichever is less);
ND, OH (7.7% new construction employers);
PA (10.26% new construction employers);                                                                                             RI (new employers pay an additional 0.21% Job Development Fund);
SD (6.0% construction employers);
TN( construction 8.6%, mining &amp; extraction 6.1%, NAICS 32--6.1%, NACIS 33-8.6%, governmental 1.5%, all others 2.7%);                                                                                                   TX, UT, VT (construction employers pay InAvg);                                                                                 WA (min/max rates include social cost tax, 90% of InAvg);
WV (8.5% new foreign construction employers);
WI (6.6% new construction employers with payrolls both over and under $500,000, 4.1% general new employers with payrolls of $500,000 and over and 3.6% with payrolls under $500,000); and 
WY (InAvg, but not less than 1.0%). 
</t>
  </si>
  <si>
    <t xml:space="preserve">Source: U.S. Department of Labor, Employment and Training Administration, January 2014. </t>
  </si>
  <si>
    <t>http://www.workforcesecurity.doleta.gov/unemploy/content/sigpros/2010-2019/January2014.pdf</t>
  </si>
  <si>
    <t>*</t>
  </si>
  <si>
    <t>* Put in Max, actually use Industry Average</t>
  </si>
  <si>
    <t>Select a State</t>
  </si>
  <si>
    <t>Taxable Income</t>
  </si>
  <si>
    <t>New Business Rate</t>
  </si>
  <si>
    <t>Select your state:</t>
  </si>
  <si>
    <t>Visits per Day</t>
  </si>
  <si>
    <t>Total Visits per Day</t>
  </si>
  <si>
    <t>Hide</t>
  </si>
  <si>
    <t>Fully Loaded Hourly Wage</t>
  </si>
  <si>
    <t>HI Percentage</t>
  </si>
  <si>
    <t>Unemployment</t>
  </si>
  <si>
    <t>Health Insurance</t>
  </si>
  <si>
    <t>Disability Insurance</t>
  </si>
  <si>
    <t>Wages - Direct Care</t>
  </si>
  <si>
    <t>Total Number of Aides</t>
  </si>
  <si>
    <t>Wages - Travel</t>
  </si>
  <si>
    <t>Base Average Hourly Wage</t>
  </si>
  <si>
    <t>Board of Directors</t>
  </si>
  <si>
    <t>FTE Hours</t>
  </si>
  <si>
    <t>Wages - In-Service</t>
  </si>
  <si>
    <t>Direct Care Wages</t>
  </si>
  <si>
    <t>Short Term Disability got from Paridise</t>
  </si>
  <si>
    <t>Direct Care Benefits</t>
  </si>
  <si>
    <t>Total Direct Care Benefits</t>
  </si>
  <si>
    <t>Indirect Expenses</t>
  </si>
  <si>
    <t>Total Direct Costs</t>
  </si>
  <si>
    <t>Average Hours per Week</t>
  </si>
  <si>
    <t>State Unemployment Insurance Rate</t>
  </si>
  <si>
    <t>Employer Portion of Health Insurance</t>
  </si>
  <si>
    <t>Annual Hours of Paid Time Off</t>
  </si>
  <si>
    <t>Employer Contribution to Retirement</t>
  </si>
  <si>
    <t>In-Service Hours per Employee</t>
  </si>
  <si>
    <t>Number of Board Members</t>
  </si>
  <si>
    <t>Will Board Members be Paid?</t>
  </si>
  <si>
    <t>Direct Care Admin Expenses</t>
  </si>
  <si>
    <t>Tota Direct Care Admin</t>
  </si>
  <si>
    <t>Indirect Benefits</t>
  </si>
  <si>
    <t>Total Number of Admin Staff</t>
  </si>
  <si>
    <t>Long &amp; Short Term Disability</t>
  </si>
  <si>
    <t>Total Indirect Benefits</t>
  </si>
  <si>
    <t>Indirect Salaries</t>
  </si>
  <si>
    <t>Other Expenses</t>
  </si>
  <si>
    <t>..Total ………………………………………...…………………………………………………………………………………………………………</t>
  </si>
  <si>
    <t>% of Revenue</t>
  </si>
  <si>
    <r>
      <t>..…</t>
    </r>
    <r>
      <rPr>
        <sz val="8"/>
        <rFont val="Times New Roman"/>
        <family val="1"/>
      </rPr>
      <t>Gross annual payroll………………………………………...…………………………………………………………………………………………………………</t>
    </r>
  </si>
  <si>
    <r>
      <t>..…</t>
    </r>
    <r>
      <rPr>
        <sz val="8"/>
        <rFont val="Times New Roman"/>
        <family val="1"/>
      </rPr>
      <t>Employer's cost for fringe benefits………………………………………...…………………………………………………………………………………………………………</t>
    </r>
  </si>
  <si>
    <r>
      <t>..…</t>
    </r>
    <r>
      <rPr>
        <sz val="8"/>
        <rFont val="Times New Roman"/>
        <family val="1"/>
      </rPr>
      <t>Temporary staff and leased employee expense………………………………………...…………………………………………………………………………………………………………</t>
    </r>
  </si>
  <si>
    <r>
      <t>..…</t>
    </r>
    <r>
      <rPr>
        <sz val="8"/>
        <rFont val="Times New Roman"/>
        <family val="1"/>
      </rPr>
      <t>Medical supplies………………………………………...…………………………………………………………………………………………………………</t>
    </r>
  </si>
  <si>
    <r>
      <t>..…</t>
    </r>
    <r>
      <rPr>
        <sz val="8"/>
        <rFont val="Times New Roman"/>
        <family val="1"/>
      </rPr>
      <t>Expensed equipment………………………………………...…………………………………………………………………………………………………………</t>
    </r>
  </si>
  <si>
    <r>
      <t>..…</t>
    </r>
    <r>
      <rPr>
        <sz val="8"/>
        <rFont val="Times New Roman"/>
        <family val="1"/>
      </rPr>
      <t>Expensed purchase of other materials, parts, and supplies………………………………………...…………………………………………………………………………………………………………</t>
    </r>
  </si>
  <si>
    <r>
      <t>..…</t>
    </r>
    <r>
      <rPr>
        <sz val="8"/>
        <rFont val="Times New Roman"/>
        <family val="1"/>
      </rPr>
      <t>Expensed purchases of software………………………………………...…………………………………………………………………………………………………………</t>
    </r>
  </si>
  <si>
    <r>
      <t>..…</t>
    </r>
    <r>
      <rPr>
        <sz val="8"/>
        <rFont val="Times New Roman"/>
        <family val="1"/>
      </rPr>
      <t>Purchased electricity and fuels (except motor fuels)………………………………………...…………………………………………………………………………………………………………</t>
    </r>
  </si>
  <si>
    <r>
      <t>..…</t>
    </r>
    <r>
      <rPr>
        <sz val="8"/>
        <rFont val="Times New Roman"/>
        <family val="1"/>
      </rPr>
      <t>Lease and rental payments………………………………………...…………………………………………………………………………………………………………</t>
    </r>
  </si>
  <si>
    <r>
      <t>..…</t>
    </r>
    <r>
      <rPr>
        <sz val="8"/>
        <rFont val="Times New Roman"/>
        <family val="1"/>
      </rPr>
      <t>Purchased repair and maintenance………………………………………...…………………………………………………………………………………………………………</t>
    </r>
  </si>
  <si>
    <r>
      <t>..…</t>
    </r>
    <r>
      <rPr>
        <sz val="8"/>
        <rFont val="Times New Roman"/>
        <family val="1"/>
      </rPr>
      <t>Purchased advertising and promotional services………………………………………...…………………………………………………………………………………………………………</t>
    </r>
  </si>
  <si>
    <r>
      <t>..…</t>
    </r>
    <r>
      <rPr>
        <sz val="8"/>
        <rFont val="Times New Roman"/>
        <family val="1"/>
      </rPr>
      <t>Professional liability insurance………………………………………...…………………………………………………………………………………………………………</t>
    </r>
  </si>
  <si>
    <r>
      <t>..…</t>
    </r>
    <r>
      <rPr>
        <sz val="8"/>
        <rFont val="Times New Roman"/>
        <family val="1"/>
      </rPr>
      <t>Depreciation and amortization charges………………………………………...…………………………………………………………………………………………………………</t>
    </r>
  </si>
  <si>
    <r>
      <t>..…</t>
    </r>
    <r>
      <rPr>
        <sz val="8"/>
        <rFont val="Times New Roman"/>
        <family val="1"/>
      </rPr>
      <t>Governmental taxes and license fees………………………………………...…………………………………………………………………………………………………………</t>
    </r>
  </si>
  <si>
    <r>
      <t>..…</t>
    </r>
    <r>
      <rPr>
        <sz val="8"/>
        <rFont val="Times New Roman"/>
        <family val="1"/>
      </rPr>
      <t>All other operating expenses………………………………………...…………………………………………………………………………………………………………</t>
    </r>
  </si>
  <si>
    <r>
      <t>...</t>
    </r>
    <r>
      <rPr>
        <b/>
        <sz val="8"/>
        <rFont val="Times New Roman"/>
        <family val="1"/>
      </rPr>
      <t>Personnel costs………………………………………...…………………………………………………………………………………………………………</t>
    </r>
  </si>
  <si>
    <r>
      <t>...</t>
    </r>
    <r>
      <rPr>
        <b/>
        <sz val="8"/>
        <rFont val="Times New Roman"/>
        <family val="1"/>
      </rPr>
      <t>Expensed materials, parts and supplies (not for resale)………………………………………...…………………………………………………………………………………………………………</t>
    </r>
  </si>
  <si>
    <r>
      <t>...</t>
    </r>
    <r>
      <rPr>
        <b/>
        <sz val="8"/>
        <rFont val="Times New Roman"/>
        <family val="1"/>
      </rPr>
      <t>Expensed purchased services………………………………………...…………………………………………………………………………………………………………</t>
    </r>
  </si>
  <si>
    <r>
      <t>...</t>
    </r>
    <r>
      <rPr>
        <b/>
        <sz val="8"/>
        <rFont val="Times New Roman"/>
        <family val="1"/>
      </rPr>
      <t>Other operating expenses………………………………………...…………………………………………………………………………………………………………</t>
    </r>
  </si>
  <si>
    <t>Materials, parts, and supplies</t>
  </si>
  <si>
    <t>Utilities</t>
  </si>
  <si>
    <t>Lease Expense</t>
  </si>
  <si>
    <t>Repair &amp; Maintenance</t>
  </si>
  <si>
    <t>Marketing</t>
  </si>
  <si>
    <t>Liability Insurance</t>
  </si>
  <si>
    <t>Depreciation</t>
  </si>
  <si>
    <t>Licenses and Fees</t>
  </si>
  <si>
    <t>Other Operating Expenses</t>
  </si>
  <si>
    <t>Total Other Expenses</t>
  </si>
  <si>
    <t>Month 0</t>
  </si>
  <si>
    <t>Loan Amortization 1</t>
  </si>
  <si>
    <t>Annual</t>
  </si>
  <si>
    <t>Monthly</t>
  </si>
  <si>
    <t>Year to start loan:</t>
  </si>
  <si>
    <t>Principal</t>
  </si>
  <si>
    <t>Interest</t>
  </si>
  <si>
    <t>Term</t>
  </si>
  <si>
    <t>Month</t>
  </si>
  <si>
    <t>Starting Balance</t>
  </si>
  <si>
    <t>Interest pmt.</t>
  </si>
  <si>
    <t>Principal pmt.</t>
  </si>
  <si>
    <t>Total pmt.</t>
  </si>
  <si>
    <t>Ending Balance</t>
  </si>
  <si>
    <t>Current Portion</t>
  </si>
  <si>
    <t>Long Term Portion</t>
  </si>
  <si>
    <t>Loan Interest Rate</t>
  </si>
  <si>
    <t>Loan Term (Years)</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</si>
  <si>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</si>
  <si>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</si>
  <si>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</si>
  <si>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</si>
  <si>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</si>
  <si>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</si>
  <si>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</si>
  <si>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</si>
  <si>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</si>
  <si>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</si>
  <si>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</si>
  <si>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</si>
  <si>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</si>
  <si>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</si>
  <si>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</si>
  <si>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</si>
  <si>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</si>
  <si>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</si>
  <si>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</si>
  <si>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</si>
  <si>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</si>
  <si>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</si>
  <si>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</si>
  <si>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</si>
  <si>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Month 37</t>
  </si>
  <si>
    <t>Month 38</t>
  </si>
  <si>
    <t>Month 39</t>
  </si>
  <si>
    <t>Month 40</t>
  </si>
  <si>
    <t>Month 41</t>
  </si>
  <si>
    <t>Month 42</t>
  </si>
  <si>
    <t>Month 43</t>
  </si>
  <si>
    <t>Month 44</t>
  </si>
  <si>
    <t>Month 45</t>
  </si>
  <si>
    <t>Month 46</t>
  </si>
  <si>
    <t>Month 47</t>
  </si>
  <si>
    <t>Month 48</t>
  </si>
  <si>
    <t>Month 49</t>
  </si>
  <si>
    <t>Month 50</t>
  </si>
  <si>
    <t>Month 51</t>
  </si>
  <si>
    <t>Month 52</t>
  </si>
  <si>
    <t>Month 53</t>
  </si>
  <si>
    <t>Month 54</t>
  </si>
  <si>
    <t>Month 55</t>
  </si>
  <si>
    <t>Month 56</t>
  </si>
  <si>
    <t>Month 57</t>
  </si>
  <si>
    <t>Month 58</t>
  </si>
  <si>
    <t>Month 59</t>
  </si>
  <si>
    <t>Month 60</t>
  </si>
  <si>
    <t>Membership Fee</t>
  </si>
  <si>
    <t>Owner Equity</t>
  </si>
  <si>
    <t>Equity Share per Owner</t>
  </si>
  <si>
    <t>Initial Payment</t>
  </si>
  <si>
    <t>Balance</t>
  </si>
  <si>
    <t>Months to Repay</t>
  </si>
  <si>
    <t>Months to Repay Vacuum</t>
  </si>
  <si>
    <t>Number of Employee Owners</t>
  </si>
  <si>
    <t>Total Class A Share Value</t>
  </si>
  <si>
    <t>Current Payments</t>
  </si>
  <si>
    <t>Accounts Receivable - Owners</t>
  </si>
  <si>
    <t>OPERATIONS CASH FLOWS</t>
  </si>
  <si>
    <t>Net Income</t>
  </si>
  <si>
    <t>Add: Accum. Depr. &amp; Amort</t>
  </si>
  <si>
    <t>Gross Cash Flow</t>
  </si>
  <si>
    <t>Changes in Assets &amp; Liabilities</t>
  </si>
  <si>
    <t>(Inc) Dec Accounts Receivable</t>
  </si>
  <si>
    <t>(Inc) Dec Prepaid Expenses</t>
  </si>
  <si>
    <t>(Inc) Dec Inventory</t>
  </si>
  <si>
    <t>Inc (Dec) Accounts Payable</t>
  </si>
  <si>
    <t>Total Changes - Operations</t>
  </si>
  <si>
    <t>Net Cash Flows From Operations</t>
  </si>
  <si>
    <t>INVESTMENT &amp; OTHER CASH FLOWS</t>
  </si>
  <si>
    <t>(Inc) Dec Fixed Assets</t>
  </si>
  <si>
    <t>Net Cash Flows from Investments</t>
  </si>
  <si>
    <t>FREE CASH FLOW FOR FINANCING</t>
  </si>
  <si>
    <t>Less: Taxes</t>
  </si>
  <si>
    <t>Cash Flow Prior to Financing</t>
  </si>
  <si>
    <t>FINANCING CASH FLOWS</t>
  </si>
  <si>
    <t>Inc (Dec) Current Portion LT Debt</t>
  </si>
  <si>
    <t>Inc (Dec) Long term Liabilities</t>
  </si>
  <si>
    <t>Inc (Dec) Entrepreneur Equity</t>
  </si>
  <si>
    <t>Inc (Dec) Contributed Equity</t>
  </si>
  <si>
    <t>Total Financing Activities</t>
  </si>
  <si>
    <t>INCREASE (DECREASE) CASH</t>
  </si>
  <si>
    <t>Starting Cash</t>
  </si>
  <si>
    <t>Ending Cash</t>
  </si>
  <si>
    <t>Inventory</t>
  </si>
  <si>
    <t>Liabilities</t>
  </si>
  <si>
    <t>Total Other Assets</t>
  </si>
  <si>
    <t>Registered Nurse</t>
  </si>
  <si>
    <t>Direct Care Hours</t>
  </si>
  <si>
    <t>Total Direct Care Hours</t>
  </si>
  <si>
    <t>Other Care Hours</t>
  </si>
  <si>
    <t>Coordinator Hours</t>
  </si>
  <si>
    <t>RN Hours</t>
  </si>
  <si>
    <t>Direct Care Admin Benefits</t>
  </si>
  <si>
    <t xml:space="preserve">Based on this data, the average clients per Worker Per Day is calculated. This number is important in determining the financial statements. </t>
  </si>
  <si>
    <t>Average Clients Per Worker Per Day</t>
  </si>
  <si>
    <t>Direct Expenses</t>
  </si>
  <si>
    <t>Total Expenses</t>
  </si>
  <si>
    <t>Wages - Overtime</t>
  </si>
  <si>
    <t>Breakdown of Direct Care Labor Costs</t>
  </si>
  <si>
    <t>This is the wage the worker is paid</t>
  </si>
  <si>
    <t>The taxes the employer pays to Medicare and Social Security</t>
  </si>
  <si>
    <t>The taxes the employer pays to Federal and State Unemployment</t>
  </si>
  <si>
    <t>The fees employers pay for Workers Compensation Insurance. The rate is often set by the state</t>
  </si>
  <si>
    <t>This is average hourly cost of providing paid time off for aides</t>
  </si>
  <si>
    <t>This is the cost of the Employer's contribution to the workers retirement plan</t>
  </si>
  <si>
    <t>This is the total average cost of an hour's work.</t>
  </si>
  <si>
    <t>This is the Average Rate your customers pay based upon the proportion that are public versus private</t>
  </si>
  <si>
    <t xml:space="preserve">The total cost of the Employer's portion of Health Insurance divided by the total number of hours worked. </t>
  </si>
  <si>
    <t xml:space="preserve">The total cost of the Employer's portion of Disability Insurance divided by the total number of hours worked. </t>
  </si>
  <si>
    <t xml:space="preserve">The funds the Agency has available to cover all of its costs. Managing indirect costs is the secret to providing a quality job and ensuring long term business success. </t>
  </si>
  <si>
    <t>Expenses</t>
  </si>
  <si>
    <t>Indirect Salary &amp; Benefits</t>
  </si>
  <si>
    <t>Earnings Before Interest, Taxes (EBIT)</t>
  </si>
  <si>
    <t>Provision for Income Taxes</t>
  </si>
  <si>
    <t>Years</t>
  </si>
  <si>
    <t>Average Bill Rate</t>
  </si>
  <si>
    <t>Funds Available to Cover the Indirect Costs</t>
  </si>
  <si>
    <t>Public Clients at End of Year</t>
  </si>
  <si>
    <t>Private Clients at End of Year</t>
  </si>
  <si>
    <t>Aides at End of Year</t>
  </si>
  <si>
    <t>Admin Staff at End of Year</t>
  </si>
  <si>
    <t>n/a</t>
  </si>
  <si>
    <t>At Startup</t>
  </si>
  <si>
    <t>Worker's Compensation Rate (Direct Care Workers)</t>
  </si>
  <si>
    <t>Workers Compensation Rate (Non Direct Care)</t>
  </si>
  <si>
    <t>Average Length of Care Delivered (Months)</t>
  </si>
  <si>
    <t>Managing overtime is critical because it often cannot be billed to a client, this model assumes it is 3.5% of wages.</t>
  </si>
  <si>
    <t>Cash at Beginning</t>
  </si>
  <si>
    <t>Cash at End</t>
  </si>
  <si>
    <t>year 4</t>
  </si>
  <si>
    <t>Year 0</t>
  </si>
  <si>
    <t>Number of Direct Care Workers for each Coordinator</t>
  </si>
  <si>
    <t>Dependent</t>
  </si>
  <si>
    <t>Not Used</t>
  </si>
  <si>
    <t>Census</t>
  </si>
  <si>
    <t>Direct Care Benchmark</t>
  </si>
  <si>
    <t xml:space="preserve">The typical client will generate total annual revenues of: </t>
  </si>
  <si>
    <t xml:space="preserve">Given these costs, to breakeven (for the agency to cover its costs, you must have sales of: </t>
  </si>
  <si>
    <t xml:space="preserve">In order to break even, the agency needs to have at least this number of clients: </t>
  </si>
  <si>
    <r>
      <rPr>
        <b/>
        <sz val="16"/>
        <color theme="1"/>
        <rFont val="Calibri"/>
        <family val="2"/>
        <scheme val="minor"/>
      </rPr>
      <t>Total Public Clients</t>
    </r>
    <r>
      <rPr>
        <sz val="11"/>
        <color theme="1"/>
        <rFont val="Calibri"/>
        <family val="2"/>
        <scheme val="minor"/>
      </rPr>
      <t xml:space="preserve"> 
</t>
    </r>
    <r>
      <rPr>
        <i/>
        <sz val="10"/>
        <color theme="1"/>
        <rFont val="Calibri"/>
        <family val="2"/>
        <scheme val="minor"/>
      </rPr>
      <t>(Use the arrows to change this variable)</t>
    </r>
  </si>
  <si>
    <r>
      <rPr>
        <b/>
        <sz val="16"/>
        <color theme="1"/>
        <rFont val="Calibri"/>
        <family val="2"/>
        <scheme val="minor"/>
      </rPr>
      <t>Total Private Clients</t>
    </r>
    <r>
      <rPr>
        <sz val="11"/>
        <color theme="1"/>
        <rFont val="Calibri"/>
        <family val="2"/>
        <scheme val="minor"/>
      </rPr>
      <t xml:space="preserve"> 
</t>
    </r>
    <r>
      <rPr>
        <i/>
        <sz val="10"/>
        <color theme="1"/>
        <rFont val="Calibri"/>
        <family val="2"/>
        <scheme val="minor"/>
      </rPr>
      <t>(Use the arrows to change this variable)</t>
    </r>
  </si>
  <si>
    <t xml:space="preserve">Total Clients </t>
  </si>
  <si>
    <t>Days Cash on Hand</t>
  </si>
  <si>
    <t>PreStartup Expenses</t>
  </si>
  <si>
    <t>Months to pay off Membership Fee</t>
  </si>
  <si>
    <t>Indirect Staff Information</t>
  </si>
  <si>
    <t>Direct Care Staff Information</t>
  </si>
  <si>
    <r>
      <t xml:space="preserve">Days Cash on Hand
  </t>
    </r>
    <r>
      <rPr>
        <i/>
        <sz val="12"/>
        <color theme="1"/>
        <rFont val="Calibri"/>
        <family val="2"/>
        <scheme val="minor"/>
      </rPr>
      <t>(30 days is reccomended)</t>
    </r>
  </si>
  <si>
    <r>
      <t xml:space="preserve">Cash at the end of year
</t>
    </r>
    <r>
      <rPr>
        <i/>
        <sz val="12"/>
        <color theme="1"/>
        <rFont val="Calibri"/>
        <family val="2"/>
        <scheme val="minor"/>
      </rPr>
      <t>(This number cannot go negative)</t>
    </r>
  </si>
  <si>
    <r>
      <rPr>
        <b/>
        <sz val="14"/>
        <color theme="1"/>
        <rFont val="Calibri"/>
        <family val="2"/>
        <scheme val="minor"/>
      </rPr>
      <t>Initial Loan for Startup</t>
    </r>
    <r>
      <rPr>
        <sz val="11"/>
        <color theme="1"/>
        <rFont val="Calibri"/>
        <family val="2"/>
        <scheme val="minor"/>
      </rPr>
      <t xml:space="preserve">
</t>
    </r>
    <r>
      <rPr>
        <i/>
        <sz val="10"/>
        <color theme="1"/>
        <rFont val="Calibri"/>
        <family val="2"/>
        <scheme val="minor"/>
      </rPr>
      <t>(Use the arrows to change this variable)</t>
    </r>
  </si>
  <si>
    <r>
      <t xml:space="preserve">Number of Clients
</t>
    </r>
    <r>
      <rPr>
        <i/>
        <sz val="12"/>
        <color theme="1"/>
        <rFont val="Calibri Light"/>
        <family val="2"/>
        <scheme val="major"/>
      </rPr>
      <t>Enter the number of clients at startup and the number of new clients each year. The model assumes clients are replaced when services are completed.</t>
    </r>
  </si>
  <si>
    <t>Loan Principal</t>
  </si>
  <si>
    <t>Income Statement Pro Forma</t>
  </si>
  <si>
    <t>Statement of Cash Flows Pro Forma</t>
  </si>
  <si>
    <t>Net Cash Flows from Operations</t>
  </si>
  <si>
    <t>Net Cash Flows from Financing</t>
  </si>
  <si>
    <t>Net Change in Cash</t>
  </si>
  <si>
    <t>Fixed Assets</t>
  </si>
  <si>
    <t>Current Liabilities</t>
  </si>
  <si>
    <t>Noncurrent Liabilities</t>
  </si>
  <si>
    <t>Member Capital Stock</t>
  </si>
  <si>
    <t>Total Equity</t>
  </si>
  <si>
    <t>Based on the estimated amount a client is charged and the estimated cost of paying direct care workers, the Gross Margin is:</t>
  </si>
  <si>
    <r>
      <rPr>
        <i/>
        <sz val="18"/>
        <color theme="1"/>
        <rFont val="Calibri Light"/>
        <family val="2"/>
        <scheme val="major"/>
      </rPr>
      <t xml:space="preserve">View </t>
    </r>
    <r>
      <rPr>
        <b/>
        <i/>
        <sz val="18"/>
        <color theme="1"/>
        <rFont val="Calibri Light"/>
        <family val="2"/>
        <scheme val="major"/>
      </rPr>
      <t>Analysis</t>
    </r>
  </si>
  <si>
    <t>Values for Years 1-5 Indicate NEW Clients Added During Year:</t>
  </si>
  <si>
    <t>Current Client Base</t>
  </si>
  <si>
    <t>Step Two: Enter Assumptions about Worker Compensation</t>
  </si>
  <si>
    <t>Home Care Coopertive Startup Expenses</t>
  </si>
  <si>
    <t>Break-Even Analysis</t>
  </si>
  <si>
    <t>Financial Pro Formas &amp; Adjustments</t>
  </si>
  <si>
    <r>
      <rPr>
        <i/>
        <sz val="18"/>
        <color theme="1"/>
        <rFont val="Calibri Light"/>
        <family val="2"/>
        <scheme val="major"/>
      </rPr>
      <t xml:space="preserve">Start Here </t>
    </r>
    <r>
      <rPr>
        <b/>
        <i/>
        <sz val="18"/>
        <color theme="1"/>
        <rFont val="Calibri Light"/>
        <family val="2"/>
        <scheme val="major"/>
      </rPr>
      <t>Data Entry</t>
    </r>
  </si>
  <si>
    <t>Based on the estimated cost of running the agency (including debt payments), the firm has annual total Indirect Costs of:</t>
  </si>
  <si>
    <t>Office Furniture &amp; Equipment</t>
  </si>
  <si>
    <t>Leasehold Improvements</t>
  </si>
  <si>
    <t>Pre-Start-up expense</t>
  </si>
  <si>
    <t>Less: Accum. Amortization</t>
  </si>
  <si>
    <t>Welcome to the CDF Home Care Financial Model. We have developed a brief instruction sheet to help you begin (available on the web site).
Or, you can simply start now by reviewing/adjusting the assumptions below, and then go to the Analysis worksheet to review the results.</t>
  </si>
  <si>
    <t>Starting Hourly Wage</t>
  </si>
  <si>
    <t>Travel Time Hourly Wage</t>
  </si>
  <si>
    <t>Average Registered Nurse Cost per Client per Month</t>
  </si>
  <si>
    <t>Coordinator Hourly Wage:</t>
  </si>
  <si>
    <t>Executive Director Salary</t>
  </si>
  <si>
    <t>Number of Office Staff Required per $1MM Revenue</t>
  </si>
  <si>
    <t xml:space="preserve">Days Accounts Payable </t>
  </si>
  <si>
    <r>
      <t xml:space="preserve">Balance Sheet Pro Forma </t>
    </r>
    <r>
      <rPr>
        <i/>
        <sz val="14"/>
        <color theme="1"/>
        <rFont val="Calibri"/>
        <family val="2"/>
        <scheme val="minor"/>
      </rPr>
      <t>(End of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</si>
</sst>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quot;$&quot;* #,##0.0000_);_(&quot;$&quot;* \(#,##0.0000\);_(&quot;$&quot;* &quot;-&quot;??_);_(@_)"/>
    <numFmt numFmtId="166" formatCode="0.000%"/>
    <numFmt numFmtId="167" formatCode="_(* #,##0_);_(* \(#,##0\);_(* &quot;-&quot;??_);_(@_)"/>
    <numFmt numFmtId="168" formatCode="0.0"/>
    <numFmt numFmtId="169" formatCode="_(* #,##0.0_);_(* \(#,##0.0\);_(* &quot;-&quot;??_);_(@_)"/>
    <numFmt numFmtId="170" formatCode="_(&quot;$&quot;* #,##0.0_);_(&quot;$&quot;* \(#,##0.0\);_(&quot;$&quot;* &quot;-&quot;??_);_(@_)"/>
    <numFmt numFmtId="171" formatCode="0.0%"/>
    <numFmt numFmtId="172" formatCode="[$-409]d\-mmm\-yy;@"/>
    <numFmt numFmtId="173" formatCode="&quot;$&quot;#,##0"/>
    <numFmt numFmtId="174" formatCode="_(* #,##0.0000_);_(* \(#,##0.0000\);_(* &quot;-&quot;??_);_(@_)"/>
    <numFmt numFmtId="175" formatCode="_(&quot;$&quot;* #,##0.000_);_(&quot;$&quot;* \(#,##0.000\);_(&quot;$&quot;* &quot;-&quot;??_);_(@_)"/>
    <numFmt numFmtId="176" formatCode="0_);\(0\)"/>
    <numFmt numFmtId="177" formatCode="[$-409]mmm\-yy;@"/>
  </numFmts>
  <fonts count="6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sz val="10"/>
      <name val="Arial"/>
      <family val="2"/>
    </font>
    <font>
      <b/>
      <sz val="10"/>
      <name val="Arial"/>
      <family val="2"/>
    </font>
    <font>
      <sz val="10"/>
      <color theme="1"/>
      <name val="Arial"/>
      <family val="2"/>
    </font>
    <font>
      <sz val="11"/>
      <color theme="8"/>
      <name val="Calibri"/>
      <family val="2"/>
      <scheme val="minor"/>
    </font>
    <font>
      <b/>
      <sz val="10"/>
      <color theme="1"/>
      <name val="Arial"/>
      <family val="2"/>
    </font>
    <font>
      <sz val="11"/>
      <color theme="0"/>
      <name val="Calibri"/>
      <family val="2"/>
      <scheme val="minor"/>
    </font>
    <font>
      <sz val="11"/>
      <name val="Calibri"/>
      <family val="2"/>
      <scheme val="minor"/>
    </font>
    <font>
      <i/>
      <sz val="9"/>
      <color theme="1"/>
      <name val="Calibri"/>
      <family val="2"/>
      <scheme val="minor"/>
    </font>
    <font>
      <i/>
      <u/>
      <sz val="9"/>
      <color theme="1"/>
      <name val="Calibri"/>
      <family val="2"/>
      <scheme val="minor"/>
    </font>
    <font>
      <b/>
      <sz val="14"/>
      <color theme="0"/>
      <name val="Calibri"/>
      <family val="2"/>
      <scheme val="minor"/>
    </font>
    <font>
      <sz val="14"/>
      <color theme="0"/>
      <name val="Calibri"/>
      <family val="2"/>
      <scheme val="minor"/>
    </font>
    <font>
      <b/>
      <u/>
      <sz val="11"/>
      <color theme="1"/>
      <name val="Calibri"/>
      <family val="2"/>
      <scheme val="minor"/>
    </font>
    <font>
      <b/>
      <i/>
      <sz val="11"/>
      <name val="Calibri"/>
      <family val="2"/>
      <scheme val="minor"/>
    </font>
    <font>
      <sz val="10"/>
      <color theme="0"/>
      <name val="Arial"/>
      <family val="2"/>
    </font>
    <font>
      <b/>
      <sz val="11"/>
      <color theme="0"/>
      <name val="Calibri"/>
      <family val="2"/>
      <scheme val="minor"/>
    </font>
    <font>
      <b/>
      <sz val="8"/>
      <name val="Arial"/>
      <family val="2"/>
    </font>
    <font>
      <b/>
      <sz val="11"/>
      <name val="Calibri"/>
      <family val="2"/>
      <scheme val="minor"/>
    </font>
    <font>
      <b/>
      <i/>
      <sz val="10"/>
      <name val="Arial"/>
      <family val="2"/>
    </font>
    <font>
      <i/>
      <sz val="11"/>
      <name val="Calibri"/>
      <family val="2"/>
      <scheme val="minor"/>
    </font>
    <font>
      <u/>
      <sz val="11"/>
      <name val="Calibri"/>
      <family val="2"/>
      <scheme val="minor"/>
    </font>
    <font>
      <sz val="9"/>
      <color indexed="81"/>
      <name val="Tahoma"/>
      <family val="2"/>
    </font>
    <font>
      <b/>
      <sz val="9"/>
      <color indexed="81"/>
      <name val="Tahoma"/>
      <family val="2"/>
    </font>
    <font>
      <b/>
      <sz val="18"/>
      <color theme="0"/>
      <name val="Calibri"/>
      <family val="2"/>
      <scheme val="minor"/>
    </font>
    <font>
      <b/>
      <u/>
      <sz val="10"/>
      <name val="TimesNewRomanPS"/>
    </font>
    <font>
      <b/>
      <sz val="10"/>
      <name val="TimesNewRomanPS"/>
    </font>
    <font>
      <b/>
      <sz val="10"/>
      <name val="Times New Roman"/>
      <family val="1"/>
    </font>
    <font>
      <sz val="8"/>
      <name val="Arial"/>
      <family val="2"/>
    </font>
    <font>
      <b/>
      <sz val="10"/>
      <name val="Calibri"/>
      <family val="2"/>
      <scheme val="minor"/>
    </font>
    <font>
      <sz val="10"/>
      <name val="Calibri"/>
      <family val="2"/>
      <scheme val="minor"/>
    </font>
    <font>
      <sz val="9"/>
      <name val="Calibri"/>
      <family val="2"/>
      <scheme val="minor"/>
    </font>
    <font>
      <u/>
      <sz val="10"/>
      <color indexed="12"/>
      <name val="Arial"/>
      <family val="2"/>
    </font>
    <font>
      <u/>
      <sz val="10"/>
      <color indexed="12"/>
      <name val="Calibri"/>
      <family val="2"/>
      <scheme val="minor"/>
    </font>
    <font>
      <sz val="8"/>
      <color indexed="9"/>
      <name val="Times New Roman"/>
      <family val="1"/>
    </font>
    <font>
      <sz val="8"/>
      <name val="Times New Roman"/>
      <family val="1"/>
    </font>
    <font>
      <b/>
      <sz val="8"/>
      <color indexed="9"/>
      <name val="Times New Roman"/>
      <family val="1"/>
    </font>
    <font>
      <b/>
      <sz val="8"/>
      <name val="Times New Roman"/>
      <family val="1"/>
    </font>
    <font>
      <sz val="12"/>
      <color theme="1"/>
      <name val="Calibri"/>
      <family val="2"/>
      <scheme val="minor"/>
    </font>
    <font>
      <b/>
      <sz val="8"/>
      <name val="Century Gothic"/>
      <family val="2"/>
    </font>
    <font>
      <sz val="8"/>
      <name val="Century Gothic"/>
      <family val="2"/>
    </font>
    <font>
      <b/>
      <sz val="9"/>
      <name val="Century Gothic"/>
      <family val="2"/>
    </font>
    <font>
      <sz val="9"/>
      <name val="Century Gothic"/>
      <family val="2"/>
    </font>
    <font>
      <b/>
      <sz val="16"/>
      <color theme="8"/>
      <name val="Calibri"/>
      <family val="2"/>
      <scheme val="minor"/>
    </font>
    <font>
      <i/>
      <sz val="14"/>
      <name val="Calibri Light"/>
      <family val="2"/>
      <scheme val="major"/>
    </font>
    <font>
      <i/>
      <sz val="9"/>
      <color indexed="81"/>
      <name val="Tahoma"/>
      <family val="2"/>
    </font>
    <font>
      <i/>
      <sz val="8"/>
      <name val="Arial"/>
      <family val="2"/>
    </font>
    <font>
      <b/>
      <sz val="16"/>
      <color theme="1"/>
      <name val="Calibri Light"/>
      <family val="2"/>
      <scheme val="major"/>
    </font>
    <font>
      <i/>
      <sz val="12"/>
      <color theme="1"/>
      <name val="Calibri"/>
      <family val="2"/>
      <scheme val="minor"/>
    </font>
    <font>
      <i/>
      <sz val="14"/>
      <color theme="1"/>
      <name val="Calibri"/>
      <family val="2"/>
      <scheme val="minor"/>
    </font>
    <font>
      <b/>
      <sz val="16"/>
      <name val="Calibri"/>
      <family val="2"/>
      <scheme val="minor"/>
    </font>
    <font>
      <i/>
      <sz val="10"/>
      <color theme="1"/>
      <name val="Calibri"/>
      <family val="2"/>
      <scheme val="minor"/>
    </font>
    <font>
      <b/>
      <i/>
      <sz val="14"/>
      <color theme="1"/>
      <name val="Calibri"/>
      <family val="2"/>
      <scheme val="minor"/>
    </font>
    <font>
      <b/>
      <sz val="16"/>
      <color theme="1"/>
      <name val="Calibri"/>
      <family val="2"/>
      <scheme val="minor"/>
    </font>
    <font>
      <b/>
      <sz val="18"/>
      <color theme="1"/>
      <name val="Calibri"/>
      <family val="2"/>
      <scheme val="minor"/>
    </font>
    <font>
      <b/>
      <sz val="14"/>
      <color theme="1"/>
      <name val="Calibri"/>
      <family val="2"/>
      <scheme val="minor"/>
    </font>
    <font>
      <sz val="14"/>
      <color theme="1"/>
      <name val="Calibri"/>
      <family val="2"/>
      <scheme val="minor"/>
    </font>
    <font>
      <b/>
      <i/>
      <sz val="10"/>
      <color theme="1"/>
      <name val="Calibri"/>
      <family val="2"/>
      <scheme val="minor"/>
    </font>
    <font>
      <b/>
      <sz val="14"/>
      <name val="Calibri Light"/>
      <family val="2"/>
      <scheme val="major"/>
    </font>
    <font>
      <b/>
      <i/>
      <sz val="11"/>
      <color theme="1"/>
      <name val="Calibri"/>
      <family val="2"/>
      <scheme val="minor"/>
    </font>
    <font>
      <i/>
      <sz val="12"/>
      <color theme="1"/>
      <name val="Calibri Light"/>
      <family val="2"/>
      <scheme val="major"/>
    </font>
    <font>
      <b/>
      <i/>
      <sz val="18"/>
      <color theme="1"/>
      <name val="Calibri Light"/>
      <family val="2"/>
      <scheme val="major"/>
    </font>
    <font>
      <i/>
      <sz val="18"/>
      <color theme="1"/>
      <name val="Calibri Light"/>
      <family val="2"/>
      <scheme val="major"/>
    </font>
  </fonts>
  <fills count="17">
    <fill>
      <patternFill patternType="none"/>
    </fill>
    <fill>
      <patternFill patternType="gray125"/>
    </fill>
    <fill>
      <patternFill patternType="solid">
        <fgColor rgb="FFFFFF00"/>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bgColor indexed="64"/>
      </patternFill>
    </fill>
    <fill>
      <patternFill patternType="solid">
        <fgColor rgb="FFFFFF99"/>
        <bgColor indexed="64"/>
      </patternFill>
    </fill>
    <fill>
      <patternFill patternType="solid">
        <fgColor rgb="FFFF99FF"/>
        <bgColor indexed="64"/>
      </patternFill>
    </fill>
    <fill>
      <patternFill patternType="solid">
        <fgColor rgb="FF92D050"/>
        <bgColor indexed="64"/>
      </patternFill>
    </fill>
    <fill>
      <patternFill patternType="solid">
        <fgColor theme="0"/>
        <bgColor indexed="64"/>
      </patternFill>
    </fill>
    <fill>
      <patternFill patternType="solid">
        <fgColor theme="7"/>
        <bgColor indexed="64"/>
      </patternFill>
    </fill>
    <fill>
      <patternFill patternType="solid">
        <fgColor theme="9" tint="0.79998168889431442"/>
        <bgColor indexed="64"/>
      </patternFill>
    </fill>
    <fill>
      <patternFill patternType="solid">
        <fgColor indexed="42"/>
        <bgColor indexed="64"/>
      </patternFill>
    </fill>
    <fill>
      <patternFill patternType="solid">
        <fgColor indexed="26"/>
        <bgColor indexed="64"/>
      </patternFill>
    </fill>
    <fill>
      <patternFill patternType="solid">
        <fgColor theme="2"/>
        <bgColor indexed="64"/>
      </patternFill>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thin">
        <color indexed="64"/>
      </top>
      <bottom style="double">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theme="8"/>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style="medium">
        <color theme="8"/>
      </right>
      <top/>
      <bottom style="medium">
        <color theme="8"/>
      </bottom>
      <diagonal/>
    </border>
    <border>
      <left/>
      <right/>
      <top style="medium">
        <color theme="8"/>
      </top>
      <bottom/>
      <diagonal/>
    </border>
    <border>
      <left/>
      <right/>
      <top/>
      <bottom style="medium">
        <color theme="8"/>
      </bottom>
      <diagonal/>
    </border>
    <border>
      <left style="medium">
        <color theme="8"/>
      </left>
      <right/>
      <top style="thin">
        <color indexed="64"/>
      </top>
      <bottom/>
      <diagonal/>
    </border>
    <border>
      <left/>
      <right style="medium">
        <color theme="8"/>
      </right>
      <top style="thin">
        <color indexed="64"/>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double">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43" fontId="6" fillId="0" borderId="0" applyFont="0" applyFill="0" applyBorder="0" applyAlignment="0" applyProtection="0"/>
  </cellStyleXfs>
  <cellXfs count="486">
    <xf numFmtId="0" fontId="0" fillId="0" borderId="0" xfId="0"/>
    <xf numFmtId="0" fontId="3" fillId="0" borderId="0" xfId="0" applyFont="1"/>
    <xf numFmtId="0" fontId="4" fillId="0" borderId="0" xfId="0" applyFont="1"/>
    <xf numFmtId="164" fontId="3" fillId="0" borderId="0" xfId="1" applyNumberFormat="1" applyFont="1"/>
    <xf numFmtId="164" fontId="0" fillId="0" borderId="0" xfId="1" applyNumberFormat="1" applyFont="1"/>
    <xf numFmtId="164" fontId="4" fillId="0" borderId="0" xfId="1" applyNumberFormat="1" applyFont="1"/>
    <xf numFmtId="164" fontId="0" fillId="0" borderId="0" xfId="1" applyNumberFormat="1" applyFont="1" applyAlignment="1">
      <alignment horizontal="right"/>
    </xf>
    <xf numFmtId="0" fontId="5" fillId="0" borderId="0" xfId="0" applyFont="1" applyAlignment="1">
      <alignment horizontal="right"/>
    </xf>
    <xf numFmtId="9" fontId="0" fillId="0" borderId="0" xfId="2" applyFont="1"/>
    <xf numFmtId="0" fontId="0" fillId="2" borderId="0" xfId="0" applyFill="1"/>
    <xf numFmtId="0" fontId="0" fillId="0" borderId="0" xfId="0" applyBorder="1"/>
    <xf numFmtId="0" fontId="7" fillId="0" borderId="0" xfId="0" applyFont="1"/>
    <xf numFmtId="0" fontId="7" fillId="0" borderId="3" xfId="0" applyFont="1" applyBorder="1" applyAlignment="1">
      <alignment horizontal="center"/>
    </xf>
    <xf numFmtId="0" fontId="7" fillId="0" borderId="4" xfId="0" applyFont="1" applyBorder="1" applyAlignment="1">
      <alignment horizontal="center"/>
    </xf>
    <xf numFmtId="0" fontId="6" fillId="0" borderId="0" xfId="0" applyFont="1"/>
    <xf numFmtId="0" fontId="7" fillId="0" borderId="7" xfId="0" applyFont="1" applyBorder="1"/>
    <xf numFmtId="0" fontId="8" fillId="0" borderId="0" xfId="0" applyFont="1"/>
    <xf numFmtId="0" fontId="6" fillId="0" borderId="0" xfId="0" applyFont="1" applyFill="1"/>
    <xf numFmtId="0" fontId="10" fillId="0" borderId="0" xfId="0" applyFont="1"/>
    <xf numFmtId="0" fontId="12" fillId="7" borderId="1" xfId="0" applyFont="1" applyFill="1" applyBorder="1" applyAlignment="1">
      <alignment horizontal="center"/>
    </xf>
    <xf numFmtId="0" fontId="0" fillId="0" borderId="0" xfId="0" applyAlignment="1">
      <alignment horizontal="center"/>
    </xf>
    <xf numFmtId="0" fontId="13" fillId="0" borderId="0" xfId="0" applyFont="1" applyAlignment="1">
      <alignment horizontal="left"/>
    </xf>
    <xf numFmtId="0" fontId="5" fillId="0" borderId="0" xfId="0" applyFont="1"/>
    <xf numFmtId="0" fontId="0" fillId="8" borderId="0" xfId="0" applyFill="1"/>
    <xf numFmtId="0" fontId="0" fillId="5" borderId="1" xfId="0" applyFill="1" applyBorder="1"/>
    <xf numFmtId="0" fontId="5" fillId="0" borderId="0" xfId="0" applyFont="1" applyAlignment="1">
      <alignment horizontal="left"/>
    </xf>
    <xf numFmtId="0" fontId="12" fillId="0" borderId="0" xfId="0" applyFont="1" applyBorder="1"/>
    <xf numFmtId="0" fontId="0" fillId="6" borderId="0" xfId="0" applyFill="1"/>
    <xf numFmtId="0" fontId="11" fillId="9" borderId="1" xfId="0" applyFont="1" applyFill="1" applyBorder="1" applyAlignment="1">
      <alignment horizontal="center"/>
    </xf>
    <xf numFmtId="0" fontId="0" fillId="0" borderId="0" xfId="0" applyFill="1"/>
    <xf numFmtId="0" fontId="13" fillId="0" borderId="0" xfId="0" applyFont="1" applyFill="1" applyAlignment="1">
      <alignment horizontal="left"/>
    </xf>
    <xf numFmtId="0" fontId="14" fillId="0" borderId="0" xfId="0" applyFont="1" applyFill="1" applyAlignment="1">
      <alignment horizontal="left"/>
    </xf>
    <xf numFmtId="0" fontId="4" fillId="0" borderId="0" xfId="0" applyFont="1" applyFill="1"/>
    <xf numFmtId="0" fontId="0" fillId="0" borderId="0" xfId="0" applyFill="1" applyBorder="1"/>
    <xf numFmtId="0" fontId="13" fillId="6" borderId="0" xfId="0" applyFont="1" applyFill="1" applyAlignment="1">
      <alignment horizontal="left"/>
    </xf>
    <xf numFmtId="0" fontId="14" fillId="6" borderId="0" xfId="0" applyFont="1" applyFill="1" applyAlignment="1">
      <alignment horizontal="left"/>
    </xf>
    <xf numFmtId="0" fontId="4" fillId="6" borderId="0" xfId="0" applyFont="1" applyFill="1"/>
    <xf numFmtId="0" fontId="0" fillId="6" borderId="0" xfId="0" applyFill="1" applyBorder="1"/>
    <xf numFmtId="164" fontId="3" fillId="0" borderId="0" xfId="1" applyNumberFormat="1" applyFont="1" applyFill="1"/>
    <xf numFmtId="164" fontId="4" fillId="0" borderId="0" xfId="1" applyNumberFormat="1" applyFont="1" applyFill="1"/>
    <xf numFmtId="164" fontId="0" fillId="0" borderId="0" xfId="1" applyNumberFormat="1" applyFont="1" applyFill="1"/>
    <xf numFmtId="164" fontId="2" fillId="0" borderId="0" xfId="1" applyNumberFormat="1" applyFont="1" applyFill="1"/>
    <xf numFmtId="164" fontId="0" fillId="0" borderId="0" xfId="1" applyNumberFormat="1" applyFont="1" applyFill="1" applyAlignment="1">
      <alignment horizontal="right"/>
    </xf>
    <xf numFmtId="164" fontId="2" fillId="0" borderId="0" xfId="1" applyNumberFormat="1" applyFont="1" applyFill="1" applyAlignment="1">
      <alignment horizontal="right"/>
    </xf>
    <xf numFmtId="0" fontId="16" fillId="3" borderId="0" xfId="0" applyFont="1" applyFill="1"/>
    <xf numFmtId="9" fontId="3" fillId="0" borderId="0" xfId="2" applyFont="1"/>
    <xf numFmtId="0" fontId="17" fillId="0" borderId="0" xfId="0" applyFont="1"/>
    <xf numFmtId="43" fontId="12" fillId="0" borderId="0" xfId="3" applyFont="1" applyFill="1" applyBorder="1"/>
    <xf numFmtId="0" fontId="12" fillId="0" borderId="0" xfId="0" applyFont="1" applyFill="1" applyBorder="1"/>
    <xf numFmtId="0" fontId="0" fillId="0" borderId="10" xfId="0" applyBorder="1"/>
    <xf numFmtId="0" fontId="7" fillId="0" borderId="0" xfId="0" applyFont="1" applyBorder="1"/>
    <xf numFmtId="0" fontId="0" fillId="0" borderId="7" xfId="0" applyBorder="1"/>
    <xf numFmtId="0" fontId="0" fillId="0" borderId="11" xfId="0" applyBorder="1"/>
    <xf numFmtId="0" fontId="7" fillId="10" borderId="5" xfId="0" applyFont="1" applyFill="1" applyBorder="1"/>
    <xf numFmtId="0" fontId="17" fillId="0" borderId="0" xfId="0" applyFont="1" applyBorder="1" applyAlignment="1">
      <alignment horizontal="center"/>
    </xf>
    <xf numFmtId="0" fontId="17" fillId="0" borderId="9" xfId="0" applyFont="1" applyBorder="1" applyAlignment="1">
      <alignment horizontal="center"/>
    </xf>
    <xf numFmtId="0" fontId="7" fillId="0" borderId="5" xfId="0" applyFont="1" applyBorder="1"/>
    <xf numFmtId="0" fontId="0" fillId="0" borderId="9" xfId="0" applyBorder="1"/>
    <xf numFmtId="0" fontId="6" fillId="0" borderId="5" xfId="0" applyFont="1" applyBorder="1"/>
    <xf numFmtId="0" fontId="8" fillId="0" borderId="5" xfId="0" applyFont="1" applyBorder="1"/>
    <xf numFmtId="0" fontId="0" fillId="0" borderId="3" xfId="0" applyBorder="1"/>
    <xf numFmtId="0" fontId="0" fillId="0" borderId="4" xfId="0" applyBorder="1"/>
    <xf numFmtId="0" fontId="0" fillId="0" borderId="6" xfId="0" applyBorder="1"/>
    <xf numFmtId="0" fontId="17" fillId="0" borderId="5" xfId="0" applyFont="1" applyBorder="1" applyAlignment="1">
      <alignment horizontal="center"/>
    </xf>
    <xf numFmtId="0" fontId="0" fillId="0" borderId="5" xfId="0" applyBorder="1"/>
    <xf numFmtId="0" fontId="0" fillId="0" borderId="8" xfId="0" applyBorder="1"/>
    <xf numFmtId="0" fontId="6" fillId="0" borderId="5" xfId="0" applyFont="1" applyFill="1" applyBorder="1"/>
    <xf numFmtId="0" fontId="7" fillId="0" borderId="5" xfId="0" applyFont="1" applyFill="1" applyBorder="1"/>
    <xf numFmtId="164" fontId="0" fillId="2" borderId="0" xfId="1" applyNumberFormat="1" applyFont="1" applyFill="1"/>
    <xf numFmtId="0" fontId="20" fillId="6" borderId="6" xfId="0" applyFont="1" applyFill="1" applyBorder="1"/>
    <xf numFmtId="37" fontId="21" fillId="0" borderId="0" xfId="0" applyNumberFormat="1" applyFont="1"/>
    <xf numFmtId="0" fontId="22" fillId="0" borderId="0" xfId="0" applyFont="1"/>
    <xf numFmtId="0" fontId="22" fillId="0" borderId="3" xfId="0" applyFont="1" applyBorder="1" applyAlignment="1">
      <alignment horizontal="right"/>
    </xf>
    <xf numFmtId="0" fontId="22" fillId="0" borderId="3" xfId="0" applyFont="1" applyBorder="1" applyAlignment="1">
      <alignment horizontal="center"/>
    </xf>
    <xf numFmtId="0" fontId="22" fillId="0" borderId="4" xfId="0" applyFont="1" applyBorder="1" applyAlignment="1">
      <alignment horizontal="center"/>
    </xf>
    <xf numFmtId="0" fontId="20" fillId="6" borderId="0" xfId="0" applyFont="1" applyFill="1"/>
    <xf numFmtId="0" fontId="20" fillId="6" borderId="0" xfId="0" applyFont="1" applyFill="1" applyAlignment="1">
      <alignment horizontal="right"/>
    </xf>
    <xf numFmtId="0" fontId="19" fillId="0" borderId="5" xfId="0" applyFont="1" applyFill="1" applyBorder="1"/>
    <xf numFmtId="0" fontId="0" fillId="0" borderId="5" xfId="0" applyFill="1" applyBorder="1"/>
    <xf numFmtId="0" fontId="0" fillId="0" borderId="9" xfId="0" applyFill="1" applyBorder="1"/>
    <xf numFmtId="0" fontId="23" fillId="0" borderId="0" xfId="0" applyFont="1"/>
    <xf numFmtId="0" fontId="7" fillId="0" borderId="4" xfId="0" applyFont="1" applyBorder="1"/>
    <xf numFmtId="0" fontId="20" fillId="6" borderId="12" xfId="0" applyFont="1" applyFill="1" applyBorder="1"/>
    <xf numFmtId="0" fontId="0" fillId="0" borderId="13" xfId="0" applyBorder="1"/>
    <xf numFmtId="0" fontId="0" fillId="0" borderId="13" xfId="0" applyFill="1" applyBorder="1"/>
    <xf numFmtId="0" fontId="3" fillId="0" borderId="13" xfId="0" applyFont="1" applyFill="1" applyBorder="1"/>
    <xf numFmtId="0" fontId="3" fillId="0" borderId="5" xfId="0" applyFont="1" applyFill="1" applyBorder="1"/>
    <xf numFmtId="0" fontId="0" fillId="0" borderId="8" xfId="0" applyFill="1" applyBorder="1"/>
    <xf numFmtId="0" fontId="20" fillId="6" borderId="7" xfId="0" applyFont="1" applyFill="1" applyBorder="1"/>
    <xf numFmtId="0" fontId="0" fillId="0" borderId="3" xfId="0" applyFill="1" applyBorder="1"/>
    <xf numFmtId="0" fontId="0" fillId="0" borderId="4" xfId="0" applyFill="1" applyBorder="1"/>
    <xf numFmtId="0" fontId="0" fillId="0" borderId="12" xfId="0" applyBorder="1"/>
    <xf numFmtId="0" fontId="17" fillId="0" borderId="13" xfId="0" applyFont="1" applyBorder="1" applyAlignment="1">
      <alignment horizontal="center"/>
    </xf>
    <xf numFmtId="0" fontId="3" fillId="0" borderId="13" xfId="0" applyFont="1" applyBorder="1"/>
    <xf numFmtId="0" fontId="0" fillId="5" borderId="14" xfId="0" applyFill="1" applyBorder="1"/>
    <xf numFmtId="0" fontId="20" fillId="6" borderId="5" xfId="0" applyFont="1" applyFill="1" applyBorder="1" applyAlignment="1">
      <alignment horizontal="left"/>
    </xf>
    <xf numFmtId="0" fontId="8" fillId="0" borderId="9" xfId="0" applyFont="1" applyBorder="1"/>
    <xf numFmtId="0" fontId="3" fillId="0" borderId="9" xfId="0" applyFont="1" applyBorder="1"/>
    <xf numFmtId="0" fontId="10" fillId="0" borderId="9" xfId="0" applyFont="1" applyBorder="1"/>
    <xf numFmtId="0" fontId="0" fillId="0" borderId="15" xfId="0" applyBorder="1"/>
    <xf numFmtId="0" fontId="10" fillId="0" borderId="13" xfId="0" applyFont="1" applyBorder="1"/>
    <xf numFmtId="0" fontId="0" fillId="0" borderId="2" xfId="0" applyBorder="1"/>
    <xf numFmtId="0" fontId="12" fillId="8" borderId="5" xfId="0" applyFont="1" applyFill="1" applyBorder="1"/>
    <xf numFmtId="0" fontId="10" fillId="0" borderId="5" xfId="0" applyFont="1" applyBorder="1"/>
    <xf numFmtId="0" fontId="10" fillId="0" borderId="8" xfId="0" applyFont="1" applyBorder="1"/>
    <xf numFmtId="164" fontId="0" fillId="0" borderId="1" xfId="1" applyNumberFormat="1" applyFont="1" applyBorder="1"/>
    <xf numFmtId="9" fontId="0" fillId="0" borderId="0" xfId="2" applyFont="1" applyFill="1" applyBorder="1"/>
    <xf numFmtId="0" fontId="4" fillId="0" borderId="0" xfId="0" applyFont="1" applyFill="1" applyBorder="1"/>
    <xf numFmtId="168" fontId="12" fillId="0" borderId="0" xfId="0" applyNumberFormat="1" applyFont="1" applyFill="1" applyBorder="1"/>
    <xf numFmtId="0" fontId="12" fillId="4" borderId="1" xfId="0" applyFont="1" applyFill="1" applyBorder="1" applyAlignment="1">
      <alignment horizontal="center"/>
    </xf>
    <xf numFmtId="0" fontId="12" fillId="0" borderId="0" xfId="0" applyFont="1"/>
    <xf numFmtId="0" fontId="9" fillId="0" borderId="0" xfId="0" applyFont="1"/>
    <xf numFmtId="0" fontId="15" fillId="6" borderId="0" xfId="0" applyFont="1" applyFill="1"/>
    <xf numFmtId="164" fontId="15" fillId="6" borderId="0" xfId="1" applyNumberFormat="1" applyFont="1" applyFill="1"/>
    <xf numFmtId="0" fontId="16" fillId="10" borderId="0" xfId="0" applyFont="1" applyFill="1"/>
    <xf numFmtId="164" fontId="17" fillId="0" borderId="0" xfId="1" applyNumberFormat="1" applyFont="1" applyAlignment="1">
      <alignment horizontal="center"/>
    </xf>
    <xf numFmtId="164" fontId="17" fillId="0" borderId="0" xfId="1" applyNumberFormat="1" applyFont="1" applyFill="1"/>
    <xf numFmtId="0" fontId="0" fillId="0" borderId="0" xfId="0" applyFont="1"/>
    <xf numFmtId="164" fontId="12" fillId="0" borderId="1" xfId="1" applyNumberFormat="1" applyFont="1" applyBorder="1"/>
    <xf numFmtId="164" fontId="0" fillId="0" borderId="1" xfId="1" applyNumberFormat="1" applyFont="1" applyBorder="1" applyAlignment="1">
      <alignment horizontal="right"/>
    </xf>
    <xf numFmtId="164" fontId="12" fillId="0" borderId="1" xfId="1" applyNumberFormat="1" applyFont="1" applyBorder="1" applyAlignment="1">
      <alignment horizontal="right"/>
    </xf>
    <xf numFmtId="164" fontId="0" fillId="0" borderId="1" xfId="1" applyNumberFormat="1" applyFont="1" applyFill="1" applyBorder="1"/>
    <xf numFmtId="164" fontId="0" fillId="0" borderId="1" xfId="1" applyNumberFormat="1" applyFont="1" applyFill="1" applyBorder="1" applyAlignment="1">
      <alignment horizontal="right"/>
    </xf>
    <xf numFmtId="0" fontId="0" fillId="0" borderId="0" xfId="0" applyFont="1" applyFill="1" applyBorder="1" applyAlignment="1">
      <alignment horizontal="left"/>
    </xf>
    <xf numFmtId="164" fontId="0" fillId="0" borderId="0" xfId="1" applyNumberFormat="1" applyFont="1" applyBorder="1"/>
    <xf numFmtId="0" fontId="0" fillId="0" borderId="0" xfId="0" applyFont="1" applyAlignment="1">
      <alignment horizontal="right"/>
    </xf>
    <xf numFmtId="0" fontId="0" fillId="4" borderId="0" xfId="0" applyFont="1" applyFill="1"/>
    <xf numFmtId="3" fontId="12" fillId="0" borderId="6" xfId="0" applyNumberFormat="1" applyFont="1" applyBorder="1" applyAlignment="1">
      <alignment horizontal="right"/>
    </xf>
    <xf numFmtId="3" fontId="12" fillId="0" borderId="5" xfId="0" applyNumberFormat="1" applyFont="1" applyBorder="1" applyAlignment="1">
      <alignment horizontal="right"/>
    </xf>
    <xf numFmtId="0" fontId="22" fillId="0" borderId="7" xfId="0" applyFont="1" applyBorder="1"/>
    <xf numFmtId="3" fontId="12" fillId="0" borderId="7" xfId="0" applyNumberFormat="1" applyFont="1" applyBorder="1" applyAlignment="1">
      <alignment horizontal="right"/>
    </xf>
    <xf numFmtId="0" fontId="12" fillId="0" borderId="0" xfId="0" applyFont="1" applyAlignment="1">
      <alignment horizontal="right"/>
    </xf>
    <xf numFmtId="0" fontId="12" fillId="0" borderId="5" xfId="0" applyFont="1" applyBorder="1" applyAlignment="1">
      <alignment horizontal="right"/>
    </xf>
    <xf numFmtId="0" fontId="24" fillId="0" borderId="0" xfId="0" applyFont="1"/>
    <xf numFmtId="0" fontId="24" fillId="0" borderId="0" xfId="0" applyFont="1" applyFill="1"/>
    <xf numFmtId="3" fontId="12" fillId="0" borderId="5" xfId="0" applyNumberFormat="1" applyFont="1" applyFill="1" applyBorder="1" applyAlignment="1">
      <alignment horizontal="right"/>
    </xf>
    <xf numFmtId="0" fontId="0" fillId="0" borderId="0" xfId="0" applyFont="1" applyFill="1"/>
    <xf numFmtId="10" fontId="0" fillId="4" borderId="0" xfId="2" applyNumberFormat="1" applyFont="1" applyFill="1"/>
    <xf numFmtId="44" fontId="0" fillId="2" borderId="0" xfId="1" applyFont="1" applyFill="1"/>
    <xf numFmtId="0" fontId="0" fillId="2" borderId="0" xfId="0" applyFont="1" applyFill="1"/>
    <xf numFmtId="44" fontId="0" fillId="4" borderId="0" xfId="1" applyFont="1" applyFill="1"/>
    <xf numFmtId="1" fontId="12" fillId="0" borderId="0" xfId="0" applyNumberFormat="1" applyFont="1" applyAlignment="1">
      <alignment horizontal="right"/>
    </xf>
    <xf numFmtId="1" fontId="12" fillId="0" borderId="0" xfId="0" applyNumberFormat="1" applyFont="1" applyAlignment="1">
      <alignment horizontal="center"/>
    </xf>
    <xf numFmtId="166" fontId="0" fillId="2" borderId="0" xfId="2" applyNumberFormat="1" applyFont="1" applyFill="1"/>
    <xf numFmtId="9" fontId="12" fillId="0" borderId="0" xfId="2" applyFont="1" applyBorder="1" applyAlignment="1">
      <alignment horizontal="right"/>
    </xf>
    <xf numFmtId="3" fontId="12" fillId="0" borderId="0" xfId="0" applyNumberFormat="1" applyFont="1" applyBorder="1" applyAlignment="1">
      <alignment horizontal="center"/>
    </xf>
    <xf numFmtId="3" fontId="12" fillId="0" borderId="0" xfId="0" applyNumberFormat="1" applyFont="1" applyBorder="1" applyAlignment="1">
      <alignment horizontal="right"/>
    </xf>
    <xf numFmtId="167" fontId="12" fillId="0" borderId="0" xfId="3" applyNumberFormat="1" applyFont="1" applyAlignment="1">
      <alignment horizontal="right"/>
    </xf>
    <xf numFmtId="0" fontId="24" fillId="0" borderId="0" xfId="0" applyFont="1" applyBorder="1"/>
    <xf numFmtId="165" fontId="0" fillId="4" borderId="0" xfId="1" applyNumberFormat="1" applyFont="1" applyFill="1"/>
    <xf numFmtId="37" fontId="12" fillId="0" borderId="0" xfId="0" applyNumberFormat="1" applyFont="1" applyAlignment="1">
      <alignment horizontal="right"/>
    </xf>
    <xf numFmtId="37" fontId="12" fillId="0" borderId="0" xfId="0" applyNumberFormat="1" applyFont="1" applyAlignment="1">
      <alignment horizontal="center"/>
    </xf>
    <xf numFmtId="37" fontId="12" fillId="0" borderId="0" xfId="0" applyNumberFormat="1" applyFont="1" applyBorder="1" applyAlignment="1">
      <alignment horizontal="right"/>
    </xf>
    <xf numFmtId="37" fontId="12" fillId="0" borderId="7" xfId="0" applyNumberFormat="1" applyFont="1" applyBorder="1" applyAlignment="1">
      <alignment horizontal="right"/>
    </xf>
    <xf numFmtId="0" fontId="12" fillId="0" borderId="0" xfId="0" applyFont="1" applyAlignment="1">
      <alignment horizontal="center"/>
    </xf>
    <xf numFmtId="37" fontId="25" fillId="0" borderId="3" xfId="0" applyNumberFormat="1" applyFont="1" applyBorder="1" applyAlignment="1">
      <alignment horizontal="right"/>
    </xf>
    <xf numFmtId="0" fontId="3" fillId="0" borderId="0" xfId="0" applyFont="1" applyAlignment="1">
      <alignment horizontal="right"/>
    </xf>
    <xf numFmtId="167" fontId="0" fillId="0" borderId="0" xfId="0" applyNumberFormat="1" applyFont="1" applyAlignment="1">
      <alignment horizontal="right"/>
    </xf>
    <xf numFmtId="167" fontId="3" fillId="0" borderId="0" xfId="0" applyNumberFormat="1" applyFont="1" applyAlignment="1">
      <alignment horizontal="right"/>
    </xf>
    <xf numFmtId="167" fontId="0" fillId="0" borderId="0" xfId="3" applyNumberFormat="1" applyFont="1" applyAlignment="1">
      <alignment horizontal="right"/>
    </xf>
    <xf numFmtId="0" fontId="22" fillId="0" borderId="0" xfId="0" applyFont="1" applyBorder="1"/>
    <xf numFmtId="0" fontId="0" fillId="4" borderId="1" xfId="0" applyFont="1" applyFill="1" applyBorder="1"/>
    <xf numFmtId="0" fontId="0" fillId="0" borderId="0" xfId="0" applyFont="1" applyFill="1" applyAlignment="1">
      <alignment horizontal="right"/>
    </xf>
    <xf numFmtId="0" fontId="22" fillId="0" borderId="5" xfId="0" applyFont="1" applyFill="1" applyBorder="1" applyAlignment="1">
      <alignment horizontal="right"/>
    </xf>
    <xf numFmtId="37" fontId="12" fillId="0" borderId="0" xfId="0" applyNumberFormat="1" applyFont="1" applyFill="1" applyBorder="1" applyAlignment="1">
      <alignment horizontal="right"/>
    </xf>
    <xf numFmtId="0" fontId="12" fillId="0" borderId="0" xfId="0" applyFont="1" applyFill="1" applyAlignment="1">
      <alignment horizontal="right"/>
    </xf>
    <xf numFmtId="0" fontId="18" fillId="0" borderId="0" xfId="0" applyFont="1" applyFill="1" applyBorder="1" applyAlignment="1">
      <alignment horizontal="center"/>
    </xf>
    <xf numFmtId="37" fontId="12" fillId="0" borderId="0" xfId="0" applyNumberFormat="1" applyFont="1"/>
    <xf numFmtId="37" fontId="22" fillId="0" borderId="7" xfId="0" applyNumberFormat="1" applyFont="1" applyBorder="1"/>
    <xf numFmtId="37" fontId="22" fillId="0" borderId="0" xfId="0" applyNumberFormat="1" applyFont="1"/>
    <xf numFmtId="37" fontId="24" fillId="0" borderId="0" xfId="0" applyNumberFormat="1" applyFont="1"/>
    <xf numFmtId="37" fontId="12" fillId="0" borderId="0" xfId="0" applyNumberFormat="1" applyFont="1" applyBorder="1"/>
    <xf numFmtId="37" fontId="24" fillId="0" borderId="0" xfId="0" applyNumberFormat="1" applyFont="1" applyBorder="1"/>
    <xf numFmtId="37" fontId="22" fillId="0" borderId="0" xfId="0" applyNumberFormat="1" applyFont="1" applyBorder="1"/>
    <xf numFmtId="3" fontId="12"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0" fontId="0" fillId="0" borderId="0" xfId="0" applyFont="1" applyBorder="1"/>
    <xf numFmtId="9" fontId="12" fillId="0" borderId="0" xfId="2" applyFont="1" applyBorder="1"/>
    <xf numFmtId="0" fontId="0" fillId="0" borderId="1" xfId="0" applyFont="1" applyFill="1" applyBorder="1"/>
    <xf numFmtId="0" fontId="0" fillId="8" borderId="0" xfId="0" applyFont="1" applyFill="1"/>
    <xf numFmtId="3" fontId="0" fillId="0" borderId="0" xfId="0" applyNumberFormat="1" applyFont="1" applyBorder="1" applyAlignment="1">
      <alignment horizontal="right"/>
    </xf>
    <xf numFmtId="10" fontId="0" fillId="0" borderId="0" xfId="0" applyNumberFormat="1"/>
    <xf numFmtId="0" fontId="0" fillId="0" borderId="0" xfId="0" applyAlignment="1">
      <alignment horizontal="left" indent="1"/>
    </xf>
    <xf numFmtId="44" fontId="9" fillId="6" borderId="0" xfId="1" applyFont="1" applyFill="1" applyBorder="1"/>
    <xf numFmtId="44" fontId="0" fillId="6" borderId="0" xfId="1" applyFont="1" applyFill="1" applyBorder="1"/>
    <xf numFmtId="9" fontId="0" fillId="6" borderId="0" xfId="2" applyFont="1" applyFill="1" applyBorder="1"/>
    <xf numFmtId="9" fontId="0" fillId="0" borderId="0" xfId="2" applyFont="1" applyFill="1"/>
    <xf numFmtId="44" fontId="9" fillId="0" borderId="0" xfId="1" applyFont="1" applyFill="1" applyBorder="1"/>
    <xf numFmtId="44" fontId="0" fillId="0" borderId="0" xfId="1" applyFont="1" applyFill="1" applyBorder="1"/>
    <xf numFmtId="0" fontId="3" fillId="0" borderId="0" xfId="0" applyFont="1" applyAlignment="1">
      <alignment horizontal="center"/>
    </xf>
    <xf numFmtId="0" fontId="28" fillId="6" borderId="0" xfId="0" applyFont="1" applyFill="1" applyAlignment="1">
      <alignment horizontal="centerContinuous" wrapText="1"/>
    </xf>
    <xf numFmtId="0" fontId="0" fillId="6" borderId="0" xfId="0" applyFill="1" applyAlignment="1">
      <alignment horizontal="centerContinuous" wrapText="1"/>
    </xf>
    <xf numFmtId="9" fontId="0" fillId="6" borderId="0" xfId="2" applyFont="1" applyFill="1" applyAlignment="1">
      <alignment horizontal="centerContinuous" wrapText="1"/>
    </xf>
    <xf numFmtId="44" fontId="9" fillId="6" borderId="0" xfId="1" applyFont="1" applyFill="1" applyBorder="1" applyAlignment="1">
      <alignment horizontal="centerContinuous"/>
    </xf>
    <xf numFmtId="44" fontId="0" fillId="6" borderId="0" xfId="1" applyFont="1" applyFill="1" applyBorder="1" applyAlignment="1">
      <alignment horizontal="centerContinuous"/>
    </xf>
    <xf numFmtId="9" fontId="0" fillId="6" borderId="0" xfId="2" applyFont="1" applyFill="1" applyBorder="1" applyAlignment="1">
      <alignment horizontal="centerContinuous"/>
    </xf>
    <xf numFmtId="0" fontId="0" fillId="6" borderId="0" xfId="0" applyFill="1" applyBorder="1" applyAlignment="1">
      <alignment horizontal="centerContinuous"/>
    </xf>
    <xf numFmtId="44" fontId="9" fillId="0" borderId="0" xfId="1" applyFont="1" applyFill="1" applyBorder="1" applyAlignment="1">
      <alignment horizontal="centerContinuous"/>
    </xf>
    <xf numFmtId="44" fontId="0" fillId="0" borderId="0" xfId="1" applyFont="1" applyFill="1" applyBorder="1" applyAlignment="1">
      <alignment horizontal="centerContinuous"/>
    </xf>
    <xf numFmtId="9" fontId="0" fillId="0" borderId="0" xfId="2" applyFont="1" applyFill="1" applyBorder="1" applyAlignment="1">
      <alignment horizontal="centerContinuous"/>
    </xf>
    <xf numFmtId="0" fontId="0" fillId="0" borderId="0" xfId="0" applyFill="1" applyBorder="1" applyAlignment="1">
      <alignment horizontal="centerContinuous"/>
    </xf>
    <xf numFmtId="0" fontId="22" fillId="0" borderId="0" xfId="0" applyFont="1" applyBorder="1" applyAlignment="1">
      <alignment horizontal="right"/>
    </xf>
    <xf numFmtId="0" fontId="22" fillId="0" borderId="0" xfId="0" applyFont="1" applyBorder="1" applyAlignment="1">
      <alignment horizontal="center"/>
    </xf>
    <xf numFmtId="169" fontId="22" fillId="0" borderId="0" xfId="3" applyNumberFormat="1" applyFont="1" applyBorder="1" applyAlignment="1">
      <alignment horizontal="right"/>
    </xf>
    <xf numFmtId="169" fontId="22" fillId="0" borderId="0" xfId="3" applyNumberFormat="1" applyFont="1" applyBorder="1" applyAlignment="1">
      <alignment horizontal="center"/>
    </xf>
    <xf numFmtId="0" fontId="12" fillId="0" borderId="0" xfId="0" applyFont="1" applyAlignment="1">
      <alignment horizontal="left" indent="1"/>
    </xf>
    <xf numFmtId="169" fontId="22" fillId="0" borderId="7" xfId="3" applyNumberFormat="1" applyFont="1" applyBorder="1" applyAlignment="1">
      <alignment horizontal="right"/>
    </xf>
    <xf numFmtId="0" fontId="22" fillId="0" borderId="7" xfId="0" applyFont="1" applyBorder="1" applyAlignment="1">
      <alignment horizontal="left" indent="1"/>
    </xf>
    <xf numFmtId="0" fontId="29" fillId="0" borderId="0" xfId="0" applyFont="1" applyBorder="1"/>
    <xf numFmtId="0" fontId="30" fillId="0" borderId="0" xfId="0" applyFont="1" applyBorder="1"/>
    <xf numFmtId="0" fontId="30" fillId="0" borderId="0" xfId="0" applyFont="1" applyFill="1" applyBorder="1"/>
    <xf numFmtId="0" fontId="31" fillId="0" borderId="0" xfId="0" applyFont="1"/>
    <xf numFmtId="169" fontId="22" fillId="0" borderId="5" xfId="0" applyNumberFormat="1" applyFont="1" applyFill="1" applyBorder="1" applyAlignment="1">
      <alignment horizontal="right"/>
    </xf>
    <xf numFmtId="9" fontId="0" fillId="0" borderId="0" xfId="0" applyNumberFormat="1"/>
    <xf numFmtId="171" fontId="0" fillId="0" borderId="0" xfId="0" applyNumberFormat="1"/>
    <xf numFmtId="172" fontId="33" fillId="0" borderId="0" xfId="4" applyNumberFormat="1" applyFont="1" applyAlignment="1">
      <alignment horizontal="left"/>
    </xf>
    <xf numFmtId="0" fontId="34" fillId="0" borderId="0" xfId="4" applyFont="1"/>
    <xf numFmtId="0" fontId="34" fillId="0" borderId="9" xfId="4" applyFont="1" applyBorder="1"/>
    <xf numFmtId="173" fontId="34" fillId="0" borderId="13" xfId="4" applyNumberFormat="1" applyFont="1" applyBorder="1"/>
    <xf numFmtId="10" fontId="34" fillId="0" borderId="13" xfId="4" applyNumberFormat="1" applyFont="1" applyBorder="1"/>
    <xf numFmtId="171" fontId="34" fillId="0" borderId="5" xfId="4" applyNumberFormat="1" applyFont="1" applyBorder="1" applyAlignment="1">
      <alignment horizontal="right"/>
    </xf>
    <xf numFmtId="171" fontId="34" fillId="0" borderId="13" xfId="4" applyNumberFormat="1" applyFont="1" applyBorder="1"/>
    <xf numFmtId="10" fontId="34" fillId="0" borderId="5" xfId="4" applyNumberFormat="1" applyFont="1" applyBorder="1" applyAlignment="1">
      <alignment horizontal="right"/>
    </xf>
    <xf numFmtId="171" fontId="34" fillId="0" borderId="5" xfId="4" applyNumberFormat="1" applyFont="1" applyBorder="1"/>
    <xf numFmtId="10" fontId="34" fillId="0" borderId="5" xfId="4" applyNumberFormat="1" applyFont="1" applyBorder="1"/>
    <xf numFmtId="0" fontId="34" fillId="0" borderId="4" xfId="4" applyFont="1" applyBorder="1"/>
    <xf numFmtId="173" fontId="34" fillId="0" borderId="10" xfId="4" applyNumberFormat="1" applyFont="1" applyBorder="1"/>
    <xf numFmtId="10" fontId="34" fillId="0" borderId="10" xfId="4" applyNumberFormat="1" applyFont="1" applyBorder="1"/>
    <xf numFmtId="171" fontId="34" fillId="0" borderId="10" xfId="4" applyNumberFormat="1" applyFont="1" applyBorder="1"/>
    <xf numFmtId="0" fontId="35" fillId="0" borderId="0" xfId="4" applyFont="1"/>
    <xf numFmtId="0" fontId="34" fillId="0" borderId="0" xfId="4" applyFont="1" applyAlignment="1"/>
    <xf numFmtId="0" fontId="34" fillId="0" borderId="0" xfId="4" applyFont="1" applyAlignment="1">
      <alignment vertical="top" wrapText="1"/>
    </xf>
    <xf numFmtId="0" fontId="34" fillId="0" borderId="0" xfId="4" applyFont="1" applyAlignment="1">
      <alignment horizontal="left" vertical="top" wrapText="1"/>
    </xf>
    <xf numFmtId="0" fontId="37" fillId="0" borderId="0" xfId="5" applyFont="1" applyAlignment="1" applyProtection="1">
      <alignment vertical="center"/>
    </xf>
    <xf numFmtId="0" fontId="34" fillId="0" borderId="9" xfId="4" applyFont="1" applyBorder="1" applyAlignment="1">
      <alignment vertical="center" wrapText="1"/>
    </xf>
    <xf numFmtId="173" fontId="34" fillId="0" borderId="13" xfId="4" applyNumberFormat="1" applyFont="1" applyBorder="1" applyAlignment="1">
      <alignment horizontal="right" vertical="center" wrapText="1"/>
    </xf>
    <xf numFmtId="10" fontId="34" fillId="0" borderId="13" xfId="4" applyNumberFormat="1" applyFont="1" applyBorder="1" applyAlignment="1">
      <alignment vertical="center" wrapText="1"/>
    </xf>
    <xf numFmtId="10" fontId="34" fillId="0" borderId="5" xfId="4" applyNumberFormat="1" applyFont="1" applyBorder="1" applyAlignment="1">
      <alignment horizontal="right" vertical="center" wrapText="1"/>
    </xf>
    <xf numFmtId="10" fontId="34" fillId="11" borderId="5" xfId="4" applyNumberFormat="1" applyFont="1" applyFill="1" applyBorder="1" applyAlignment="1">
      <alignment horizontal="right"/>
    </xf>
    <xf numFmtId="171" fontId="34" fillId="11" borderId="5" xfId="4" applyNumberFormat="1" applyFont="1" applyFill="1" applyBorder="1" applyAlignment="1">
      <alignment horizontal="right"/>
    </xf>
    <xf numFmtId="10" fontId="34" fillId="11" borderId="8" xfId="4" applyNumberFormat="1" applyFont="1" applyFill="1" applyBorder="1" applyAlignment="1">
      <alignment horizontal="right"/>
    </xf>
    <xf numFmtId="0" fontId="34" fillId="0" borderId="17" xfId="4" applyFont="1" applyBorder="1" applyAlignment="1">
      <alignment horizontal="center" wrapText="1"/>
    </xf>
    <xf numFmtId="0" fontId="34" fillId="0" borderId="16" xfId="4" applyFont="1" applyBorder="1" applyAlignment="1">
      <alignment horizontal="left" vertical="center"/>
    </xf>
    <xf numFmtId="171" fontId="34" fillId="0" borderId="18" xfId="4" applyNumberFormat="1" applyFont="1" applyBorder="1" applyAlignment="1">
      <alignment horizontal="center" wrapText="1"/>
    </xf>
    <xf numFmtId="173" fontId="34" fillId="0" borderId="17" xfId="4" applyNumberFormat="1" applyFont="1" applyBorder="1" applyAlignment="1">
      <alignment horizontal="center" wrapText="1"/>
    </xf>
    <xf numFmtId="0" fontId="22" fillId="0" borderId="0" xfId="0" applyFont="1" applyBorder="1" applyAlignment="1">
      <alignment horizontal="left" indent="1"/>
    </xf>
    <xf numFmtId="0" fontId="22" fillId="0" borderId="0" xfId="0" applyFont="1" applyBorder="1" applyAlignment="1">
      <alignment horizontal="left"/>
    </xf>
    <xf numFmtId="169" fontId="22" fillId="0" borderId="0" xfId="3" applyNumberFormat="1" applyFont="1" applyBorder="1" applyAlignment="1">
      <alignment horizontal="right" indent="1"/>
    </xf>
    <xf numFmtId="169" fontId="0" fillId="0" borderId="7" xfId="0" applyNumberFormat="1" applyFont="1" applyBorder="1"/>
    <xf numFmtId="0" fontId="22" fillId="0" borderId="7" xfId="0" applyFont="1" applyBorder="1" applyAlignment="1">
      <alignment horizontal="left"/>
    </xf>
    <xf numFmtId="164" fontId="0" fillId="12" borderId="0" xfId="1" applyNumberFormat="1" applyFont="1" applyFill="1"/>
    <xf numFmtId="10" fontId="0" fillId="12" borderId="0" xfId="0" applyNumberFormat="1" applyFill="1"/>
    <xf numFmtId="171" fontId="0" fillId="12" borderId="0" xfId="0" applyNumberFormat="1" applyFill="1"/>
    <xf numFmtId="44" fontId="0" fillId="0" borderId="0" xfId="0" applyNumberFormat="1"/>
    <xf numFmtId="44" fontId="0" fillId="0" borderId="7" xfId="1" applyFont="1" applyBorder="1"/>
    <xf numFmtId="167" fontId="0" fillId="0" borderId="0" xfId="0" applyNumberFormat="1"/>
    <xf numFmtId="167" fontId="12" fillId="0" borderId="0" xfId="3" applyNumberFormat="1" applyFont="1" applyBorder="1" applyAlignment="1">
      <alignment horizontal="right"/>
    </xf>
    <xf numFmtId="167" fontId="12" fillId="0" borderId="7" xfId="3" applyNumberFormat="1" applyFont="1" applyBorder="1" applyAlignment="1">
      <alignment horizontal="right"/>
    </xf>
    <xf numFmtId="169" fontId="0" fillId="0" borderId="0" xfId="3" applyNumberFormat="1" applyFont="1"/>
    <xf numFmtId="167" fontId="0" fillId="0" borderId="0" xfId="3" applyNumberFormat="1" applyFont="1"/>
    <xf numFmtId="0" fontId="24" fillId="0" borderId="0" xfId="0" applyFont="1" applyAlignment="1">
      <alignment horizontal="left" indent="1"/>
    </xf>
    <xf numFmtId="0" fontId="22" fillId="0" borderId="0" xfId="0" applyFont="1" applyFill="1"/>
    <xf numFmtId="0" fontId="24" fillId="0" borderId="0" xfId="0" applyFont="1" applyFill="1" applyAlignment="1">
      <alignment horizontal="left" indent="1"/>
    </xf>
    <xf numFmtId="169" fontId="22" fillId="0" borderId="0" xfId="3" applyNumberFormat="1" applyFont="1" applyBorder="1" applyAlignment="1">
      <alignment horizontal="left" indent="1"/>
    </xf>
    <xf numFmtId="0" fontId="0" fillId="0" borderId="0" xfId="0" applyFont="1" applyFill="1" applyAlignment="1">
      <alignment horizontal="left" indent="1"/>
    </xf>
    <xf numFmtId="0" fontId="0" fillId="0" borderId="0" xfId="0" applyFont="1" applyAlignment="1">
      <alignment horizontal="left" indent="1"/>
    </xf>
    <xf numFmtId="0" fontId="22" fillId="0" borderId="0" xfId="0" applyFont="1" applyFill="1" applyBorder="1"/>
    <xf numFmtId="0" fontId="24" fillId="0" borderId="0" xfId="0" applyFont="1" applyBorder="1" applyAlignment="1">
      <alignment horizontal="left" indent="1"/>
    </xf>
    <xf numFmtId="171" fontId="12" fillId="0" borderId="0" xfId="2" applyNumberFormat="1" applyFont="1" applyBorder="1" applyAlignment="1">
      <alignment horizontal="right"/>
    </xf>
    <xf numFmtId="167" fontId="3" fillId="0" borderId="7" xfId="0" applyNumberFormat="1" applyFont="1" applyBorder="1" applyAlignment="1">
      <alignment horizontal="right"/>
    </xf>
    <xf numFmtId="3" fontId="0" fillId="0" borderId="7" xfId="0" applyNumberFormat="1" applyFont="1" applyBorder="1" applyAlignment="1">
      <alignment horizontal="right"/>
    </xf>
    <xf numFmtId="0" fontId="22" fillId="0" borderId="2" xfId="0" applyFont="1" applyBorder="1"/>
    <xf numFmtId="3" fontId="3" fillId="0" borderId="2" xfId="0" applyNumberFormat="1" applyFont="1" applyBorder="1" applyAlignment="1">
      <alignment horizontal="right"/>
    </xf>
    <xf numFmtId="167" fontId="9" fillId="0" borderId="0" xfId="3" applyNumberFormat="1" applyFont="1" applyFill="1" applyBorder="1"/>
    <xf numFmtId="164" fontId="0" fillId="0" borderId="0" xfId="1" applyNumberFormat="1" applyFont="1" applyFill="1" applyBorder="1"/>
    <xf numFmtId="0" fontId="18" fillId="0" borderId="0" xfId="0" applyFont="1" applyFill="1" applyBorder="1" applyAlignment="1"/>
    <xf numFmtId="167" fontId="0" fillId="12" borderId="0" xfId="3" applyNumberFormat="1" applyFont="1" applyFill="1"/>
    <xf numFmtId="171" fontId="0" fillId="12" borderId="0" xfId="2" applyNumberFormat="1" applyFont="1" applyFill="1"/>
    <xf numFmtId="174" fontId="0" fillId="0" borderId="0" xfId="3" applyNumberFormat="1" applyFont="1"/>
    <xf numFmtId="0" fontId="11" fillId="0" borderId="0" xfId="0" applyFont="1"/>
    <xf numFmtId="0" fontId="0" fillId="0" borderId="7" xfId="0" applyFont="1" applyBorder="1"/>
    <xf numFmtId="175" fontId="0" fillId="0" borderId="0" xfId="0" applyNumberFormat="1"/>
    <xf numFmtId="167" fontId="12" fillId="0" borderId="5" xfId="3" applyNumberFormat="1" applyFont="1" applyBorder="1" applyAlignment="1">
      <alignment horizontal="right"/>
    </xf>
    <xf numFmtId="167" fontId="12" fillId="0" borderId="7" xfId="3" applyNumberFormat="1" applyFont="1" applyBorder="1" applyAlignment="1">
      <alignment horizontal="center"/>
    </xf>
    <xf numFmtId="167" fontId="12" fillId="0" borderId="6" xfId="3" applyNumberFormat="1" applyFont="1" applyBorder="1" applyAlignment="1">
      <alignment horizontal="right"/>
    </xf>
    <xf numFmtId="171" fontId="0" fillId="11" borderId="0" xfId="0" applyNumberFormat="1" applyFill="1"/>
    <xf numFmtId="0" fontId="38" fillId="0" borderId="9" xfId="0" applyFont="1" applyFill="1" applyBorder="1" applyAlignment="1">
      <alignment vertical="top"/>
    </xf>
    <xf numFmtId="0" fontId="40" fillId="0" borderId="9" xfId="0" applyFont="1" applyFill="1" applyBorder="1" applyAlignment="1">
      <alignment vertical="top"/>
    </xf>
    <xf numFmtId="37" fontId="0" fillId="0" borderId="0" xfId="0" applyNumberFormat="1"/>
    <xf numFmtId="167" fontId="24" fillId="0" borderId="0" xfId="3" applyNumberFormat="1" applyFont="1"/>
    <xf numFmtId="167" fontId="24" fillId="0" borderId="0" xfId="3" applyNumberFormat="1" applyFont="1" applyBorder="1"/>
    <xf numFmtId="37" fontId="7" fillId="0" borderId="6" xfId="0" applyNumberFormat="1" applyFont="1" applyBorder="1"/>
    <xf numFmtId="37" fontId="7" fillId="0" borderId="7" xfId="0" applyNumberFormat="1" applyFont="1" applyBorder="1" applyAlignment="1">
      <alignment horizontal="center"/>
    </xf>
    <xf numFmtId="37" fontId="7" fillId="0" borderId="11" xfId="0" applyNumberFormat="1" applyFont="1" applyBorder="1" applyAlignment="1">
      <alignment horizontal="center"/>
    </xf>
    <xf numFmtId="37" fontId="0" fillId="0" borderId="0" xfId="0" applyNumberFormat="1" applyBorder="1" applyAlignment="1">
      <alignment horizontal="center"/>
    </xf>
    <xf numFmtId="37" fontId="7" fillId="0" borderId="0" xfId="0" applyNumberFormat="1" applyFont="1" applyAlignment="1">
      <alignment horizontal="right"/>
    </xf>
    <xf numFmtId="176" fontId="6" fillId="0" borderId="0" xfId="0" applyNumberFormat="1" applyFont="1" applyAlignment="1">
      <alignment horizontal="center"/>
    </xf>
    <xf numFmtId="37" fontId="0" fillId="0" borderId="5" xfId="0" applyNumberFormat="1" applyBorder="1"/>
    <xf numFmtId="37" fontId="0" fillId="13" borderId="0" xfId="0" applyNumberFormat="1" applyFill="1" applyBorder="1" applyAlignment="1">
      <alignment horizontal="center"/>
    </xf>
    <xf numFmtId="37" fontId="0" fillId="0" borderId="9" xfId="0" applyNumberFormat="1" applyBorder="1" applyAlignment="1">
      <alignment horizontal="center"/>
    </xf>
    <xf numFmtId="37" fontId="0" fillId="0" borderId="0" xfId="0" applyNumberFormat="1" applyBorder="1"/>
    <xf numFmtId="10" fontId="0" fillId="13" borderId="0" xfId="2" applyNumberFormat="1" applyFont="1" applyFill="1" applyBorder="1" applyAlignment="1">
      <alignment horizontal="center"/>
    </xf>
    <xf numFmtId="10" fontId="0" fillId="0" borderId="9" xfId="2" applyNumberFormat="1" applyFont="1" applyBorder="1" applyAlignment="1">
      <alignment horizontal="center"/>
    </xf>
    <xf numFmtId="10" fontId="0" fillId="0" borderId="0" xfId="2" applyNumberFormat="1" applyFont="1" applyBorder="1"/>
    <xf numFmtId="37" fontId="0" fillId="0" borderId="8" xfId="0" applyNumberFormat="1" applyBorder="1"/>
    <xf numFmtId="37" fontId="0" fillId="13" borderId="3" xfId="0" applyNumberFormat="1" applyFill="1" applyBorder="1" applyAlignment="1">
      <alignment horizontal="center"/>
    </xf>
    <xf numFmtId="37" fontId="0" fillId="0" borderId="4" xfId="0" applyNumberFormat="1" applyBorder="1" applyAlignment="1">
      <alignment horizontal="center"/>
    </xf>
    <xf numFmtId="37" fontId="7" fillId="0" borderId="0" xfId="0" applyNumberFormat="1" applyFont="1" applyAlignment="1">
      <alignment horizontal="center"/>
    </xf>
    <xf numFmtId="177" fontId="0" fillId="0" borderId="0" xfId="0" applyNumberFormat="1" applyAlignment="1">
      <alignment horizontal="center"/>
    </xf>
    <xf numFmtId="37" fontId="7" fillId="0" borderId="0" xfId="0" applyNumberFormat="1" applyFont="1"/>
    <xf numFmtId="37" fontId="0" fillId="0" borderId="0" xfId="0" applyNumberFormat="1" applyAlignment="1">
      <alignment horizontal="center"/>
    </xf>
    <xf numFmtId="6" fontId="0" fillId="0" borderId="0" xfId="0" applyNumberFormat="1"/>
    <xf numFmtId="0" fontId="43" fillId="0" borderId="0" xfId="0" applyFont="1"/>
    <xf numFmtId="0" fontId="44" fillId="0" borderId="0" xfId="0" applyFont="1"/>
    <xf numFmtId="167" fontId="44" fillId="14" borderId="0" xfId="3" applyNumberFormat="1" applyFont="1" applyFill="1" applyAlignment="1">
      <alignment horizontal="right"/>
    </xf>
    <xf numFmtId="0" fontId="44" fillId="0" borderId="0" xfId="0" applyFont="1" applyAlignment="1">
      <alignment horizontal="right"/>
    </xf>
    <xf numFmtId="0" fontId="44" fillId="0" borderId="0" xfId="0" applyFont="1" applyFill="1"/>
    <xf numFmtId="1" fontId="44" fillId="0" borderId="0" xfId="0" applyNumberFormat="1" applyFont="1" applyFill="1" applyAlignment="1">
      <alignment horizontal="right"/>
    </xf>
    <xf numFmtId="3" fontId="44" fillId="0" borderId="0" xfId="0" applyNumberFormat="1" applyFont="1" applyFill="1" applyAlignment="1">
      <alignment horizontal="right"/>
    </xf>
    <xf numFmtId="0" fontId="45" fillId="0" borderId="0" xfId="0" applyFont="1" applyAlignment="1">
      <alignment horizontal="left"/>
    </xf>
    <xf numFmtId="0" fontId="46" fillId="0" borderId="0" xfId="0" applyFont="1" applyAlignment="1">
      <alignment horizontal="left"/>
    </xf>
    <xf numFmtId="0" fontId="46" fillId="0" borderId="0" xfId="0" applyFont="1"/>
    <xf numFmtId="0" fontId="45" fillId="0" borderId="0" xfId="0" applyFont="1"/>
    <xf numFmtId="37" fontId="22" fillId="0" borderId="19" xfId="0" applyNumberFormat="1" applyFont="1" applyBorder="1"/>
    <xf numFmtId="0" fontId="45" fillId="0" borderId="7" xfId="0" applyFont="1" applyBorder="1"/>
    <xf numFmtId="167" fontId="0" fillId="0" borderId="7" xfId="0" applyNumberFormat="1" applyBorder="1"/>
    <xf numFmtId="0" fontId="46" fillId="0" borderId="0" xfId="0" applyFont="1" applyBorder="1"/>
    <xf numFmtId="37" fontId="0" fillId="0" borderId="7" xfId="0" applyNumberFormat="1" applyBorder="1"/>
    <xf numFmtId="0" fontId="7" fillId="0" borderId="0" xfId="0" applyFont="1" applyAlignment="1">
      <alignment horizontal="center"/>
    </xf>
    <xf numFmtId="37" fontId="12" fillId="0" borderId="0" xfId="0" applyNumberFormat="1" applyFont="1" applyFill="1"/>
    <xf numFmtId="0" fontId="0" fillId="4" borderId="0" xfId="0" applyFont="1" applyFill="1" applyBorder="1"/>
    <xf numFmtId="171" fontId="47" fillId="7" borderId="20" xfId="2" quotePrefix="1" applyNumberFormat="1" applyFont="1" applyFill="1" applyBorder="1" applyAlignment="1">
      <alignment horizontal="right" vertical="center"/>
    </xf>
    <xf numFmtId="164" fontId="0" fillId="12" borderId="20" xfId="1" applyNumberFormat="1" applyFont="1" applyFill="1" applyBorder="1" applyAlignment="1">
      <alignment horizontal="right"/>
    </xf>
    <xf numFmtId="171" fontId="0" fillId="12" borderId="20" xfId="2" applyNumberFormat="1" applyFont="1" applyFill="1" applyBorder="1" applyAlignment="1">
      <alignment horizontal="right"/>
    </xf>
    <xf numFmtId="164" fontId="47" fillId="7" borderId="20" xfId="1" quotePrefix="1" applyNumberFormat="1" applyFont="1" applyFill="1" applyBorder="1" applyAlignment="1">
      <alignment horizontal="right" vertical="center"/>
    </xf>
    <xf numFmtId="9" fontId="9" fillId="0" borderId="20" xfId="2" applyFont="1" applyFill="1" applyBorder="1" applyAlignment="1">
      <alignment horizontal="right"/>
    </xf>
    <xf numFmtId="167" fontId="47" fillId="7" borderId="20" xfId="3" quotePrefix="1" applyNumberFormat="1" applyFont="1" applyFill="1" applyBorder="1" applyAlignment="1">
      <alignment horizontal="right" vertical="center"/>
    </xf>
    <xf numFmtId="169" fontId="0" fillId="0" borderId="0" xfId="0" applyNumberFormat="1" applyFont="1" applyBorder="1"/>
    <xf numFmtId="167" fontId="3" fillId="0" borderId="0" xfId="0" applyNumberFormat="1" applyFont="1" applyBorder="1" applyAlignment="1">
      <alignment horizontal="right"/>
    </xf>
    <xf numFmtId="3" fontId="3" fillId="0" borderId="0" xfId="0" applyNumberFormat="1" applyFont="1" applyBorder="1" applyAlignment="1">
      <alignment horizontal="right"/>
    </xf>
    <xf numFmtId="0" fontId="25" fillId="0" borderId="0" xfId="0" applyFont="1" applyBorder="1" applyAlignment="1">
      <alignment horizontal="center"/>
    </xf>
    <xf numFmtId="9" fontId="9" fillId="0" borderId="0" xfId="2" applyFont="1" applyFill="1" applyBorder="1" applyAlignment="1">
      <alignment horizontal="right"/>
    </xf>
    <xf numFmtId="44" fontId="0" fillId="0" borderId="0" xfId="1" applyFont="1" applyBorder="1"/>
    <xf numFmtId="43" fontId="9" fillId="0" borderId="0" xfId="3" applyFont="1" applyFill="1" applyBorder="1"/>
    <xf numFmtId="43" fontId="47" fillId="7" borderId="20" xfId="3" quotePrefix="1" applyFont="1" applyFill="1" applyBorder="1" applyAlignment="1">
      <alignment horizontal="right" vertical="center"/>
    </xf>
    <xf numFmtId="44" fontId="47" fillId="7" borderId="20" xfId="1" quotePrefix="1" applyFont="1" applyFill="1" applyBorder="1" applyAlignment="1">
      <alignment horizontal="right" vertical="center"/>
    </xf>
    <xf numFmtId="0" fontId="51" fillId="0" borderId="0" xfId="0" applyFont="1"/>
    <xf numFmtId="0" fontId="5" fillId="0" borderId="0" xfId="0" applyFont="1" applyAlignment="1">
      <alignment horizontal="left" indent="1"/>
    </xf>
    <xf numFmtId="0" fontId="53" fillId="0" borderId="0" xfId="0" applyFont="1" applyAlignment="1">
      <alignment horizontal="left" indent="1"/>
    </xf>
    <xf numFmtId="0" fontId="52" fillId="0" borderId="0" xfId="0" applyFont="1" applyAlignment="1">
      <alignment wrapText="1"/>
    </xf>
    <xf numFmtId="0" fontId="0" fillId="0" borderId="0" xfId="0" applyAlignment="1">
      <alignment wrapText="1"/>
    </xf>
    <xf numFmtId="43" fontId="54" fillId="0" borderId="21" xfId="3" applyFont="1" applyFill="1" applyBorder="1" applyAlignment="1">
      <alignment vertical="center"/>
    </xf>
    <xf numFmtId="0" fontId="51" fillId="0" borderId="0" xfId="0" applyFont="1" applyAlignment="1">
      <alignment horizontal="center" wrapText="1"/>
    </xf>
    <xf numFmtId="9" fontId="3" fillId="0" borderId="0" xfId="2" applyFont="1" applyFill="1" applyBorder="1" applyAlignment="1">
      <alignment horizontal="center" wrapText="1"/>
    </xf>
    <xf numFmtId="0" fontId="13" fillId="0" borderId="0" xfId="0" applyFont="1" applyFill="1" applyBorder="1" applyAlignment="1">
      <alignment horizontal="center" wrapText="1"/>
    </xf>
    <xf numFmtId="9" fontId="4" fillId="0" borderId="0" xfId="2" applyFont="1" applyFill="1" applyBorder="1"/>
    <xf numFmtId="9" fontId="9" fillId="0" borderId="0" xfId="2" applyFont="1" applyFill="1" applyBorder="1" applyAlignment="1">
      <alignment horizontal="center"/>
    </xf>
    <xf numFmtId="167" fontId="30" fillId="0" borderId="0" xfId="0" applyNumberFormat="1" applyFont="1" applyBorder="1"/>
    <xf numFmtId="37" fontId="30" fillId="0" borderId="0" xfId="0" applyNumberFormat="1" applyFont="1" applyBorder="1"/>
    <xf numFmtId="0" fontId="22" fillId="0" borderId="0" xfId="0" applyFont="1" applyFill="1" applyBorder="1" applyAlignment="1">
      <alignment horizontal="right"/>
    </xf>
    <xf numFmtId="169" fontId="22" fillId="0" borderId="0" xfId="0" applyNumberFormat="1" applyFont="1" applyFill="1" applyBorder="1" applyAlignment="1">
      <alignment horizontal="right"/>
    </xf>
    <xf numFmtId="169" fontId="22" fillId="0" borderId="0" xfId="0" applyNumberFormat="1" applyFont="1" applyFill="1" applyBorder="1" applyAlignment="1">
      <alignment horizontal="left" indent="1"/>
    </xf>
    <xf numFmtId="0" fontId="12" fillId="0" borderId="0" xfId="0" applyFont="1" applyBorder="1" applyAlignment="1">
      <alignment horizontal="right"/>
    </xf>
    <xf numFmtId="9" fontId="0" fillId="4" borderId="14" xfId="2" applyFont="1" applyFill="1" applyBorder="1"/>
    <xf numFmtId="167" fontId="12" fillId="0" borderId="22" xfId="3" applyNumberFormat="1" applyFont="1" applyBorder="1" applyAlignment="1">
      <alignment horizontal="right"/>
    </xf>
    <xf numFmtId="167" fontId="12" fillId="0" borderId="19" xfId="3" applyNumberFormat="1" applyFont="1" applyBorder="1" applyAlignment="1">
      <alignment horizontal="right"/>
    </xf>
    <xf numFmtId="167" fontId="0" fillId="0" borderId="19" xfId="0" applyNumberFormat="1" applyFont="1" applyBorder="1" applyAlignment="1">
      <alignment horizontal="right"/>
    </xf>
    <xf numFmtId="37" fontId="0" fillId="0" borderId="0" xfId="0" applyNumberFormat="1" applyFont="1" applyAlignment="1">
      <alignment horizontal="right"/>
    </xf>
    <xf numFmtId="0" fontId="0" fillId="0" borderId="0" xfId="0" applyFont="1" applyFill="1" applyBorder="1"/>
    <xf numFmtId="44" fontId="42" fillId="0" borderId="0" xfId="1" applyFont="1" applyBorder="1" applyAlignment="1">
      <alignment vertical="center"/>
    </xf>
    <xf numFmtId="167" fontId="0" fillId="0" borderId="7" xfId="3" applyNumberFormat="1" applyFont="1" applyBorder="1"/>
    <xf numFmtId="0" fontId="0" fillId="0" borderId="3" xfId="0" applyBorder="1" applyAlignment="1">
      <alignment horizontal="center"/>
    </xf>
    <xf numFmtId="9" fontId="0" fillId="0" borderId="7" xfId="2" applyFont="1" applyBorder="1"/>
    <xf numFmtId="0" fontId="3" fillId="0" borderId="7" xfId="0" applyFont="1" applyBorder="1"/>
    <xf numFmtId="167" fontId="3" fillId="0" borderId="7" xfId="3" applyNumberFormat="1" applyFont="1" applyBorder="1"/>
    <xf numFmtId="171" fontId="47" fillId="0" borderId="0" xfId="2" quotePrefix="1" applyNumberFormat="1" applyFont="1" applyFill="1" applyBorder="1" applyAlignment="1">
      <alignment horizontal="right" vertical="center"/>
    </xf>
    <xf numFmtId="164" fontId="0" fillId="0" borderId="0" xfId="1" applyNumberFormat="1" applyFont="1" applyFill="1" applyBorder="1" applyAlignment="1">
      <alignment horizontal="right"/>
    </xf>
    <xf numFmtId="171" fontId="0" fillId="0" borderId="0" xfId="2" applyNumberFormat="1" applyFont="1" applyFill="1" applyBorder="1" applyAlignment="1">
      <alignment horizontal="right"/>
    </xf>
    <xf numFmtId="164" fontId="47" fillId="0" borderId="0" xfId="1" quotePrefix="1" applyNumberFormat="1" applyFont="1" applyFill="1" applyBorder="1" applyAlignment="1">
      <alignment horizontal="right" vertical="center"/>
    </xf>
    <xf numFmtId="167" fontId="47" fillId="0" borderId="0" xfId="3" quotePrefix="1" applyNumberFormat="1" applyFont="1" applyFill="1" applyBorder="1" applyAlignment="1">
      <alignment horizontal="right" vertical="center"/>
    </xf>
    <xf numFmtId="0" fontId="0" fillId="0" borderId="2" xfId="0" applyFill="1" applyBorder="1"/>
    <xf numFmtId="167" fontId="0" fillId="0" borderId="2" xfId="3" applyNumberFormat="1" applyFont="1" applyBorder="1"/>
    <xf numFmtId="0" fontId="3" fillId="0" borderId="19" xfId="0" applyFont="1" applyFill="1" applyBorder="1"/>
    <xf numFmtId="167" fontId="3" fillId="0" borderId="19" xfId="3" applyNumberFormat="1" applyFont="1" applyBorder="1"/>
    <xf numFmtId="9" fontId="3" fillId="0" borderId="19" xfId="2" applyFont="1" applyBorder="1"/>
    <xf numFmtId="1" fontId="44" fillId="0" borderId="0" xfId="0" applyNumberFormat="1" applyFont="1" applyBorder="1" applyAlignment="1">
      <alignment horizontal="right" indent="1"/>
    </xf>
    <xf numFmtId="0" fontId="21" fillId="0" borderId="0" xfId="0" applyFont="1" applyBorder="1"/>
    <xf numFmtId="167" fontId="0" fillId="0" borderId="0" xfId="3" applyNumberFormat="1" applyFont="1" applyAlignment="1">
      <alignment horizontal="center"/>
    </xf>
    <xf numFmtId="37" fontId="32" fillId="0" borderId="0" xfId="0" applyNumberFormat="1" applyFont="1" applyFill="1" applyBorder="1" applyAlignment="1">
      <alignment horizontal="left" vertical="center"/>
    </xf>
    <xf numFmtId="164" fontId="9" fillId="0" borderId="0" xfId="1" applyNumberFormat="1" applyFont="1" applyFill="1" applyBorder="1"/>
    <xf numFmtId="0" fontId="53" fillId="0" borderId="0" xfId="0" applyFont="1" applyAlignment="1">
      <alignment horizontal="left" wrapText="1" indent="1"/>
    </xf>
    <xf numFmtId="170" fontId="47" fillId="7" borderId="20" xfId="1" quotePrefix="1" applyNumberFormat="1" applyFont="1" applyFill="1" applyBorder="1" applyAlignment="1">
      <alignment horizontal="right" vertical="center"/>
    </xf>
    <xf numFmtId="39" fontId="12" fillId="0" borderId="0" xfId="0" applyNumberFormat="1" applyFont="1" applyBorder="1" applyAlignment="1">
      <alignment horizontal="right"/>
    </xf>
    <xf numFmtId="9" fontId="12" fillId="0" borderId="0" xfId="2" applyFont="1" applyAlignment="1">
      <alignment horizontal="right"/>
    </xf>
    <xf numFmtId="9" fontId="0" fillId="0" borderId="0" xfId="2" applyFont="1" applyFill="1" applyAlignment="1">
      <alignment horizontal="right"/>
    </xf>
    <xf numFmtId="9" fontId="22" fillId="0" borderId="5" xfId="2" applyFont="1" applyFill="1" applyBorder="1" applyAlignment="1">
      <alignment horizontal="right"/>
    </xf>
    <xf numFmtId="9" fontId="22" fillId="0" borderId="0" xfId="2" applyFont="1" applyFill="1" applyBorder="1" applyAlignment="1">
      <alignment horizontal="right"/>
    </xf>
    <xf numFmtId="9" fontId="12" fillId="0" borderId="5" xfId="2" applyFont="1" applyBorder="1" applyAlignment="1">
      <alignment horizontal="right"/>
    </xf>
    <xf numFmtId="9" fontId="12" fillId="0" borderId="7" xfId="2" applyFont="1" applyBorder="1" applyAlignment="1">
      <alignment horizontal="right"/>
    </xf>
    <xf numFmtId="9" fontId="0" fillId="0" borderId="0" xfId="2" applyFont="1" applyAlignment="1">
      <alignment horizontal="right"/>
    </xf>
    <xf numFmtId="9" fontId="12" fillId="0" borderId="5" xfId="2" applyFont="1" applyFill="1" applyBorder="1" applyAlignment="1">
      <alignment horizontal="right"/>
    </xf>
    <xf numFmtId="9" fontId="12" fillId="0" borderId="0" xfId="2" applyFont="1" applyFill="1" applyBorder="1" applyAlignment="1">
      <alignment horizontal="right"/>
    </xf>
    <xf numFmtId="9" fontId="3" fillId="0" borderId="7" xfId="2" applyFont="1" applyBorder="1" applyAlignment="1">
      <alignment horizontal="right"/>
    </xf>
    <xf numFmtId="9" fontId="3" fillId="0" borderId="2" xfId="2" applyFont="1" applyBorder="1" applyAlignment="1">
      <alignment horizontal="right"/>
    </xf>
    <xf numFmtId="9" fontId="12" fillId="0" borderId="6" xfId="2" applyFont="1" applyBorder="1" applyAlignment="1">
      <alignment horizontal="right"/>
    </xf>
    <xf numFmtId="9" fontId="12" fillId="0" borderId="22" xfId="2" applyFont="1" applyBorder="1" applyAlignment="1">
      <alignment horizontal="right"/>
    </xf>
    <xf numFmtId="9" fontId="12" fillId="0" borderId="19" xfId="2" applyFont="1" applyBorder="1" applyAlignment="1">
      <alignment horizontal="right"/>
    </xf>
    <xf numFmtId="9" fontId="12" fillId="0" borderId="0" xfId="2" applyFont="1" applyFill="1" applyAlignment="1">
      <alignment horizontal="right"/>
    </xf>
    <xf numFmtId="10" fontId="12" fillId="0" borderId="6" xfId="2" applyNumberFormat="1" applyFont="1" applyBorder="1" applyAlignment="1">
      <alignment horizontal="right"/>
    </xf>
    <xf numFmtId="10" fontId="12" fillId="0" borderId="7" xfId="2" applyNumberFormat="1" applyFont="1" applyBorder="1" applyAlignment="1">
      <alignment horizontal="right"/>
    </xf>
    <xf numFmtId="9" fontId="3" fillId="0" borderId="7" xfId="2" applyNumberFormat="1" applyFont="1" applyBorder="1"/>
    <xf numFmtId="1" fontId="57" fillId="0" borderId="20" xfId="3" applyNumberFormat="1" applyFont="1" applyBorder="1" applyAlignment="1">
      <alignment horizontal="center" vertical="top"/>
    </xf>
    <xf numFmtId="0" fontId="57" fillId="0" borderId="0" xfId="0" applyFont="1"/>
    <xf numFmtId="0" fontId="58" fillId="0" borderId="23" xfId="0" applyFont="1" applyBorder="1"/>
    <xf numFmtId="0" fontId="0" fillId="0" borderId="24" xfId="0" applyBorder="1"/>
    <xf numFmtId="0" fontId="55" fillId="15" borderId="25" xfId="0" applyFont="1" applyFill="1" applyBorder="1" applyAlignment="1">
      <alignment horizontal="left" vertical="center" wrapText="1"/>
    </xf>
    <xf numFmtId="9" fontId="58" fillId="15" borderId="26" xfId="0" applyNumberFormat="1" applyFont="1" applyFill="1" applyBorder="1" applyAlignment="1">
      <alignment vertical="center"/>
    </xf>
    <xf numFmtId="0" fontId="55" fillId="0" borderId="25" xfId="0" applyFont="1" applyBorder="1" applyAlignment="1">
      <alignment horizontal="left" vertical="center" wrapText="1"/>
    </xf>
    <xf numFmtId="164" fontId="57" fillId="0" borderId="26" xfId="1" applyNumberFormat="1" applyFont="1" applyBorder="1" applyAlignment="1">
      <alignment vertical="center"/>
    </xf>
    <xf numFmtId="164" fontId="57" fillId="15" borderId="26" xfId="1" applyNumberFormat="1" applyFont="1" applyFill="1" applyBorder="1" applyAlignment="1">
      <alignment vertical="center"/>
    </xf>
    <xf numFmtId="0" fontId="55" fillId="15" borderId="27" xfId="0" applyFont="1" applyFill="1" applyBorder="1" applyAlignment="1">
      <alignment horizontal="left" vertical="center" wrapText="1"/>
    </xf>
    <xf numFmtId="167" fontId="57" fillId="15" borderId="28" xfId="3" applyNumberFormat="1" applyFont="1" applyFill="1" applyBorder="1" applyAlignment="1">
      <alignment vertical="center"/>
    </xf>
    <xf numFmtId="0" fontId="0" fillId="0" borderId="29" xfId="0" applyBorder="1"/>
    <xf numFmtId="37" fontId="53" fillId="0" borderId="25" xfId="0" applyNumberFormat="1" applyFont="1" applyBorder="1" applyAlignment="1">
      <alignment horizontal="left" vertical="center"/>
    </xf>
    <xf numFmtId="37" fontId="56" fillId="0" borderId="25" xfId="0" applyNumberFormat="1" applyFont="1" applyBorder="1" applyAlignment="1">
      <alignment vertical="center"/>
    </xf>
    <xf numFmtId="0" fontId="0" fillId="0" borderId="25" xfId="0" applyBorder="1"/>
    <xf numFmtId="37" fontId="56" fillId="0" borderId="25" xfId="0" applyNumberFormat="1" applyFont="1" applyBorder="1" applyAlignment="1">
      <alignment horizontal="left" vertical="center"/>
    </xf>
    <xf numFmtId="37" fontId="56" fillId="0" borderId="27" xfId="0" applyNumberFormat="1" applyFont="1" applyBorder="1" applyAlignment="1">
      <alignment horizontal="left" vertical="center" wrapText="1"/>
    </xf>
    <xf numFmtId="37" fontId="56" fillId="0" borderId="31" xfId="0" applyNumberFormat="1" applyFont="1" applyBorder="1" applyAlignment="1">
      <alignment vertical="center"/>
    </xf>
    <xf numFmtId="44" fontId="59" fillId="0" borderId="7" xfId="1" applyFont="1" applyBorder="1" applyAlignment="1">
      <alignment vertical="center"/>
    </xf>
    <xf numFmtId="0" fontId="60" fillId="0" borderId="0" xfId="0" applyFont="1" applyBorder="1"/>
    <xf numFmtId="44" fontId="59" fillId="0" borderId="0" xfId="1" applyFont="1" applyBorder="1" applyAlignment="1">
      <alignment vertical="center"/>
    </xf>
    <xf numFmtId="44" fontId="59" fillId="0" borderId="30" xfId="1" applyFont="1" applyBorder="1" applyAlignment="1">
      <alignment vertical="center"/>
    </xf>
    <xf numFmtId="0" fontId="53" fillId="0" borderId="0" xfId="0" applyFont="1" applyAlignment="1">
      <alignment horizontal="left" vertical="center" indent="1"/>
    </xf>
    <xf numFmtId="37" fontId="48" fillId="0" borderId="0" xfId="0" applyNumberFormat="1" applyFont="1" applyBorder="1" applyAlignment="1">
      <alignment horizontal="left" vertical="center" wrapText="1"/>
    </xf>
    <xf numFmtId="0" fontId="0" fillId="0" borderId="0" xfId="0" applyFont="1" applyBorder="1" applyAlignment="1">
      <alignment horizontal="left"/>
    </xf>
    <xf numFmtId="37" fontId="32" fillId="12" borderId="0" xfId="0" applyNumberFormat="1" applyFont="1" applyFill="1" applyBorder="1" applyAlignment="1">
      <alignment horizontal="left" indent="1"/>
    </xf>
    <xf numFmtId="37" fontId="50" fillId="12" borderId="0" xfId="0" applyNumberFormat="1" applyFont="1" applyFill="1" applyBorder="1" applyAlignment="1">
      <alignment horizontal="left" vertical="center"/>
    </xf>
    <xf numFmtId="37" fontId="50" fillId="0" borderId="0" xfId="0" applyNumberFormat="1" applyFont="1" applyBorder="1" applyAlignment="1">
      <alignment horizontal="left" vertical="center"/>
    </xf>
    <xf numFmtId="0" fontId="0" fillId="0" borderId="0" xfId="0" applyBorder="1" applyAlignment="1">
      <alignment vertical="center"/>
    </xf>
    <xf numFmtId="0" fontId="0" fillId="0" borderId="0" xfId="0" applyFill="1" applyBorder="1" applyAlignment="1">
      <alignment vertical="center"/>
    </xf>
    <xf numFmtId="37" fontId="62" fillId="0" borderId="0" xfId="0" applyNumberFormat="1" applyFont="1" applyFill="1" applyBorder="1" applyAlignment="1">
      <alignment horizontal="left" vertical="center" wrapText="1"/>
    </xf>
    <xf numFmtId="0" fontId="54" fillId="0" borderId="0" xfId="0" applyFont="1" applyFill="1" applyAlignment="1">
      <alignment horizontal="left"/>
    </xf>
    <xf numFmtId="0" fontId="63" fillId="0" borderId="0" xfId="0" applyFont="1" applyAlignment="1">
      <alignment horizontal="center"/>
    </xf>
    <xf numFmtId="167" fontId="57" fillId="0" borderId="20" xfId="3" applyNumberFormat="1" applyFont="1" applyBorder="1" applyAlignment="1">
      <alignment horizontal="center" vertical="center"/>
    </xf>
    <xf numFmtId="0" fontId="59" fillId="0" borderId="0" xfId="0" applyFont="1" applyAlignment="1">
      <alignment vertical="center" wrapText="1"/>
    </xf>
    <xf numFmtId="167" fontId="59" fillId="0" borderId="20" xfId="3" applyNumberFormat="1" applyFont="1" applyBorder="1" applyAlignment="1">
      <alignment horizontal="center" vertical="center"/>
    </xf>
    <xf numFmtId="164" fontId="59" fillId="0" borderId="20" xfId="1" applyNumberFormat="1" applyFont="1" applyBorder="1" applyAlignment="1">
      <alignment horizontal="center" vertical="center"/>
    </xf>
    <xf numFmtId="0" fontId="51" fillId="0" borderId="0" xfId="0" applyFont="1" applyAlignment="1">
      <alignment wrapText="1"/>
    </xf>
    <xf numFmtId="44" fontId="0" fillId="0" borderId="0" xfId="1" applyFont="1" applyFill="1" applyBorder="1" applyAlignment="1">
      <alignment horizontal="center"/>
    </xf>
    <xf numFmtId="0" fontId="51" fillId="0" borderId="0" xfId="0" applyFont="1" applyAlignment="1">
      <alignment horizontal="left" wrapText="1"/>
    </xf>
    <xf numFmtId="44" fontId="47" fillId="7" borderId="20" xfId="1" quotePrefix="1" applyNumberFormat="1" applyFont="1" applyFill="1" applyBorder="1" applyAlignment="1">
      <alignment horizontal="right" vertical="center"/>
    </xf>
    <xf numFmtId="37" fontId="0" fillId="0" borderId="36" xfId="0" applyNumberFormat="1" applyBorder="1"/>
    <xf numFmtId="37" fontId="3" fillId="0" borderId="0" xfId="0" applyNumberFormat="1" applyFont="1"/>
    <xf numFmtId="37" fontId="0" fillId="0" borderId="3" xfId="0" applyNumberFormat="1" applyBorder="1"/>
    <xf numFmtId="37" fontId="5" fillId="0" borderId="0" xfId="0" applyNumberFormat="1" applyFont="1"/>
    <xf numFmtId="0" fontId="65" fillId="0" borderId="0" xfId="0" applyFont="1"/>
    <xf numFmtId="0" fontId="65" fillId="0" borderId="0" xfId="0" applyFont="1" applyAlignment="1"/>
    <xf numFmtId="1" fontId="57" fillId="16" borderId="20" xfId="3" applyNumberFormat="1" applyFont="1" applyFill="1" applyBorder="1" applyAlignment="1">
      <alignment horizontal="center" vertical="top"/>
    </xf>
    <xf numFmtId="0" fontId="55" fillId="0" borderId="0" xfId="0" applyFont="1" applyAlignment="1">
      <alignment horizontal="center"/>
    </xf>
    <xf numFmtId="0" fontId="58" fillId="0" borderId="0" xfId="0" applyFont="1"/>
    <xf numFmtId="0" fontId="56" fillId="0" borderId="0" xfId="0" applyFont="1"/>
    <xf numFmtId="0" fontId="28" fillId="6" borderId="0" xfId="0" applyFont="1" applyFill="1" applyAlignment="1">
      <alignment horizontal="left" vertical="center"/>
    </xf>
    <xf numFmtId="10" fontId="47" fillId="7" borderId="20" xfId="2" quotePrefix="1" applyNumberFormat="1" applyFont="1" applyFill="1" applyBorder="1" applyAlignment="1">
      <alignment horizontal="right" vertical="center"/>
    </xf>
    <xf numFmtId="167" fontId="2" fillId="0" borderId="7" xfId="0" applyNumberFormat="1" applyFont="1" applyBorder="1"/>
    <xf numFmtId="0" fontId="5" fillId="0" borderId="0" xfId="0" applyFont="1" applyAlignment="1">
      <alignment horizontal="left" vertical="center" wrapText="1"/>
    </xf>
    <xf numFmtId="0" fontId="52" fillId="0" borderId="0" xfId="0" applyFont="1" applyAlignment="1">
      <alignment horizontal="center" wrapText="1"/>
    </xf>
    <xf numFmtId="43" fontId="47" fillId="7" borderId="33" xfId="3" quotePrefix="1" applyFont="1" applyFill="1" applyBorder="1" applyAlignment="1">
      <alignment horizontal="center" vertical="center"/>
    </xf>
    <xf numFmtId="43" fontId="47" fillId="7" borderId="34" xfId="3" quotePrefix="1" applyFont="1" applyFill="1" applyBorder="1" applyAlignment="1">
      <alignment horizontal="center" vertical="center"/>
    </xf>
    <xf numFmtId="43" fontId="47" fillId="7" borderId="35" xfId="3" quotePrefix="1" applyFont="1" applyFill="1" applyBorder="1" applyAlignment="1">
      <alignment horizontal="center" vertical="center"/>
    </xf>
    <xf numFmtId="0" fontId="5" fillId="0" borderId="0" xfId="0" applyFont="1" applyAlignment="1">
      <alignment horizontal="center" wrapText="1"/>
    </xf>
    <xf numFmtId="0" fontId="51" fillId="0" borderId="0" xfId="0" applyFont="1" applyAlignment="1">
      <alignment horizontal="left" wrapText="1"/>
    </xf>
    <xf numFmtId="0" fontId="55" fillId="0" borderId="0" xfId="0" applyFont="1" applyAlignment="1">
      <alignment horizontal="center"/>
    </xf>
    <xf numFmtId="0" fontId="0" fillId="0" borderId="0" xfId="0" applyBorder="1"/>
    <xf numFmtId="0" fontId="0" fillId="0" borderId="26" xfId="0" applyBorder="1"/>
    <xf numFmtId="0" fontId="55" fillId="0" borderId="30" xfId="0" applyFont="1" applyBorder="1" applyAlignment="1">
      <alignment horizontal="left" vertical="center" wrapText="1"/>
    </xf>
    <xf numFmtId="0" fontId="55" fillId="0" borderId="28" xfId="0" applyFont="1" applyBorder="1" applyAlignment="1">
      <alignment horizontal="left" vertical="center" wrapText="1"/>
    </xf>
    <xf numFmtId="0" fontId="61" fillId="0" borderId="0" xfId="0" applyFont="1" applyBorder="1" applyAlignment="1">
      <alignment horizontal="left" vertical="center" wrapText="1"/>
    </xf>
    <xf numFmtId="0" fontId="61" fillId="0" borderId="26" xfId="0" applyFont="1" applyBorder="1" applyAlignment="1">
      <alignment horizontal="left" vertical="center" wrapText="1"/>
    </xf>
    <xf numFmtId="0" fontId="55" fillId="0" borderId="0" xfId="0" applyFont="1" applyBorder="1" applyAlignment="1">
      <alignment horizontal="left" vertical="center" wrapText="1"/>
    </xf>
    <xf numFmtId="0" fontId="55" fillId="0" borderId="26" xfId="0" applyFont="1" applyBorder="1" applyAlignment="1">
      <alignment horizontal="left" vertical="center" wrapText="1"/>
    </xf>
    <xf numFmtId="0" fontId="55" fillId="0" borderId="7" xfId="0" applyFont="1" applyBorder="1" applyAlignment="1">
      <alignment horizontal="left" vertical="center" wrapText="1"/>
    </xf>
    <xf numFmtId="0" fontId="55" fillId="0" borderId="32" xfId="0" applyFont="1" applyBorder="1" applyAlignment="1">
      <alignment horizontal="left" vertical="center" wrapText="1"/>
    </xf>
    <xf numFmtId="0" fontId="34" fillId="0" borderId="0" xfId="4" applyFont="1" applyAlignment="1">
      <alignment vertical="top" wrapText="1"/>
    </xf>
    <xf numFmtId="0" fontId="34" fillId="0" borderId="0" xfId="4" applyFont="1" applyAlignment="1">
      <alignment horizontal="left" vertical="top" wrapText="1"/>
    </xf>
    <xf numFmtId="0" fontId="22" fillId="0" borderId="0" xfId="4" applyFont="1" applyAlignment="1">
      <alignment horizontal="center"/>
    </xf>
  </cellXfs>
  <cellStyles count="7">
    <cellStyle name="Comma" xfId="3" builtinId="3"/>
    <cellStyle name="Comma 2" xfId="6" xr:uid="{00000000-0005-0000-0000-000001000000}"/>
    <cellStyle name="Currency" xfId="1" builtinId="4"/>
    <cellStyle name="Hyperlink" xfId="5" builtinId="8"/>
    <cellStyle name="Normal" xfId="0" builtinId="0"/>
    <cellStyle name="Normal 2" xfId="4" xr:uid="{00000000-0005-0000-0000-000005000000}"/>
    <cellStyle name="Percent" xfId="2" builtinId="5"/>
  </cellStyles>
  <dxfs count="0"/>
  <tableStyles count="0" defaultTableStyle="TableStyleMedium2" defaultPivotStyle="PivotStyleLight16"/>
  <colors>
    <mruColors>
      <color rgb="FFFF99FF"/>
      <color rgb="FFFFFF99"/>
      <color rgb="FFFDF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r:id="rId1"/>
</file>

<file path=xl/activeX/activeX10.xml><?xml version="1.0" encoding="utf-8"?>
<ax:ocx xmlns:ax="http://schemas.microsoft.com/office/2006/activeX" xmlns:r="http://schemas.openxmlformats.org/officeDocument/2006/relationships" ax:classid="{D7053240-CE69-11CD-A777-00DD01143C57}" r:id="rId1"/>
</file>

<file path=xl/activeX/activeX11.xml><?xml version="1.0" encoding="utf-8"?>
<ax:ocx xmlns:ax="http://schemas.microsoft.com/office/2006/activeX" xmlns:r="http://schemas.openxmlformats.org/officeDocument/2006/relationships" ax:classid="{D7053240-CE69-11CD-A777-00DD01143C57}" r:id="rId1"/>
</file>

<file path=xl/activeX/activeX12.xml><?xml version="1.0" encoding="utf-8"?>
<ax:ocx xmlns:ax="http://schemas.microsoft.com/office/2006/activeX" xmlns:r="http://schemas.openxmlformats.org/officeDocument/2006/relationships" ax:classid="{D7053240-CE69-11CD-A777-00DD01143C57}" r:id="rId1"/>
</file>

<file path=xl/activeX/activeX13.xml><?xml version="1.0" encoding="utf-8"?>
<ax:ocx xmlns:ax="http://schemas.microsoft.com/office/2006/activeX" xmlns:r="http://schemas.openxmlformats.org/officeDocument/2006/relationships" ax:classid="{D7053240-CE69-11CD-A777-00DD01143C57}" r:id="rId1"/>
</file>

<file path=xl/activeX/activeX14.xml><?xml version="1.0" encoding="utf-8"?>
<ax:ocx xmlns:ax="http://schemas.microsoft.com/office/2006/activeX" xmlns:r="http://schemas.openxmlformats.org/officeDocument/2006/relationships" ax:classid="{D7053240-CE69-11CD-A777-00DD01143C57}" r:id="rId1"/>
</file>

<file path=xl/activeX/activeX15.xml><?xml version="1.0" encoding="utf-8"?>
<ax:ocx xmlns:ax="http://schemas.microsoft.com/office/2006/activeX" xmlns:r="http://schemas.openxmlformats.org/officeDocument/2006/relationships" ax:classid="{D7053240-CE69-11CD-A777-00DD01143C57}" r:id="rId1"/>
</file>

<file path=xl/activeX/activeX16.xml><?xml version="1.0" encoding="utf-8"?>
<ax:ocx xmlns:ax="http://schemas.microsoft.com/office/2006/activeX" xmlns:r="http://schemas.openxmlformats.org/officeDocument/2006/relationships" ax:classid="{D7053240-CE69-11CD-A777-00DD01143C57}" r:id="rId1"/>
</file>

<file path=xl/activeX/activeX17.xml><?xml version="1.0" encoding="utf-8"?>
<ax:ocx xmlns:ax="http://schemas.microsoft.com/office/2006/activeX" xmlns:r="http://schemas.openxmlformats.org/officeDocument/2006/relationships" ax:classid="{D7053240-CE69-11CD-A777-00DD01143C57}" r:id="rId1"/>
</file>

<file path=xl/activeX/activeX18.xml><?xml version="1.0" encoding="utf-8"?>
<ax:ocx xmlns:ax="http://schemas.microsoft.com/office/2006/activeX" xmlns:r="http://schemas.openxmlformats.org/officeDocument/2006/relationships" ax:classid="{D7053240-CE69-11CD-A777-00DD01143C57}" r:id="rId1"/>
</file>

<file path=xl/activeX/activeX19.xml><?xml version="1.0" encoding="utf-8"?>
<ax:ocx xmlns:ax="http://schemas.microsoft.com/office/2006/activeX" xmlns:r="http://schemas.openxmlformats.org/officeDocument/2006/relationships" ax:classid="{D7053240-CE69-11CD-A777-00DD01143C57}" r:id="rId1"/>
</file>

<file path=xl/activeX/activeX2.xml><?xml version="1.0" encoding="utf-8"?>
<ax:ocx xmlns:ax="http://schemas.microsoft.com/office/2006/activeX" xmlns:r="http://schemas.openxmlformats.org/officeDocument/2006/relationships" ax:classid="{D7053240-CE69-11CD-A777-00DD01143C57}" r:id="rId1"/>
</file>

<file path=xl/activeX/activeX20.xml><?xml version="1.0" encoding="utf-8"?>
<ax:ocx xmlns:ax="http://schemas.microsoft.com/office/2006/activeX" xmlns:r="http://schemas.openxmlformats.org/officeDocument/2006/relationships" ax:classid="{D7053240-CE69-11CD-A777-00DD01143C57}" r:id="rId1"/>
</file>

<file path=xl/activeX/activeX21.xml><?xml version="1.0" encoding="utf-8"?>
<ax:ocx xmlns:ax="http://schemas.microsoft.com/office/2006/activeX" xmlns:r="http://schemas.openxmlformats.org/officeDocument/2006/relationships" ax:classid="{D7053240-CE69-11CD-A777-00DD01143C57}" r:id="rId1"/>
</file>

<file path=xl/activeX/activeX22.xml><?xml version="1.0" encoding="utf-8"?>
<ax:ocx xmlns:ax="http://schemas.microsoft.com/office/2006/activeX" xmlns:r="http://schemas.openxmlformats.org/officeDocument/2006/relationships" ax:classid="{D7053240-CE69-11CD-A777-00DD01143C57}" r:id="rId1"/>
</file>

<file path=xl/activeX/activeX23.xml><?xml version="1.0" encoding="utf-8"?>
<ax:ocx xmlns:ax="http://schemas.microsoft.com/office/2006/activeX" xmlns:r="http://schemas.openxmlformats.org/officeDocument/2006/relationships" ax:classid="{D7053240-CE69-11CD-A777-00DD01143C57}" r:id="rId1"/>
</file>

<file path=xl/activeX/activeX24.xml><?xml version="1.0" encoding="utf-8"?>
<ax:ocx xmlns:ax="http://schemas.microsoft.com/office/2006/activeX" xmlns:r="http://schemas.openxmlformats.org/officeDocument/2006/relationships" ax:classid="{D7053240-CE69-11CD-A777-00DD01143C57}" r:id="rId1"/>
</file>

<file path=xl/activeX/activeX3.xml><?xml version="1.0" encoding="utf-8"?>
<ax:ocx xmlns:ax="http://schemas.microsoft.com/office/2006/activeX" xmlns:r="http://schemas.openxmlformats.org/officeDocument/2006/relationships" ax:classid="{D7053240-CE69-11CD-A777-00DD01143C57}" r:id="rId1"/>
</file>

<file path=xl/activeX/activeX4.xml><?xml version="1.0" encoding="utf-8"?>
<ax:ocx xmlns:ax="http://schemas.microsoft.com/office/2006/activeX" xmlns:r="http://schemas.openxmlformats.org/officeDocument/2006/relationships" ax:classid="{D7053240-CE69-11CD-A777-00DD01143C57}" r:id="rId1"/>
</file>

<file path=xl/activeX/activeX5.xml><?xml version="1.0" encoding="utf-8"?>
<ax:ocx xmlns:ax="http://schemas.microsoft.com/office/2006/activeX" xmlns:r="http://schemas.openxmlformats.org/officeDocument/2006/relationships" ax:classid="{D7053240-CE69-11CD-A777-00DD01143C57}" r:id="rId1"/>
</file>

<file path=xl/activeX/activeX6.xml><?xml version="1.0" encoding="utf-8"?>
<ax:ocx xmlns:ax="http://schemas.microsoft.com/office/2006/activeX" xmlns:r="http://schemas.openxmlformats.org/officeDocument/2006/relationships" ax:classid="{D7053240-CE69-11CD-A777-00DD01143C57}" r:id="rId1"/>
</file>

<file path=xl/activeX/activeX7.xml><?xml version="1.0" encoding="utf-8"?>
<ax:ocx xmlns:ax="http://schemas.microsoft.com/office/2006/activeX" xmlns:r="http://schemas.openxmlformats.org/officeDocument/2006/relationships" ax:classid="{D7053240-CE69-11CD-A777-00DD01143C57}" r:id="rId1"/>
</file>

<file path=xl/activeX/activeX8.xml><?xml version="1.0" encoding="utf-8"?>
<ax:ocx xmlns:ax="http://schemas.microsoft.com/office/2006/activeX" xmlns:r="http://schemas.openxmlformats.org/officeDocument/2006/relationships" ax:classid="{D7053240-CE69-11CD-A777-00DD01143C57}" r:id="rId1"/>
</file>

<file path=xl/activeX/activeX9.xml><?xml version="1.0" encoding="utf-8"?>
<ax:ocx xmlns:ax="http://schemas.microsoft.com/office/2006/activeX" xmlns:r="http://schemas.openxmlformats.org/officeDocument/2006/relationships" ax:classid="{D7053240-CE69-11CD-A777-00DD01143C57}" r:id="rId1"/>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Projected</a:t>
            </a:r>
            <a:r>
              <a:rPr lang="en-US" baseline="0"/>
              <a:t> Revenues &amp; Expenses</a:t>
            </a:r>
          </a:p>
          <a:p>
            <a:pPr>
              <a:defRPr/>
            </a:pPr>
            <a:r>
              <a:rPr lang="en-US" sz="1000" i="1" baseline="0"/>
              <a:t>Break-Even Point is Intersection of Revenues &amp; Total Expenses</a:t>
            </a:r>
            <a:endParaRPr lang="en-US" sz="1000" i="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'Income Statement Projections'!$A$137</c:f>
              <c:strCache>
                <c:ptCount val="1"/>
                <c:pt idx="0">
                  <c:v>Revenues</c:v>
                </c:pt>
              </c:strCache>
            </c:strRef>
          </c:tx>
          <c:spPr>
            <a:ln w="28575" cap="rnd">
              <a:solidFill>
                <a:schemeClr val="accent1"/>
              </a:solidFill>
              <a:round/>
            </a:ln>
            <a:effectLst/>
          </c:spPr>
          <c:marker>
            <c:symbol val="none"/>
          </c:marker>
          <c:cat>
            <c:strRef>
              <c:f>'Income Statement Projections'!$B$136:$BI$136</c:f>
              <c:strCache>
                <c:ptCount val="60"/>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pt idx="12">
                  <c:v>Month 13</c:v>
                </c:pt>
                <c:pt idx="13">
                  <c:v>Month 14</c:v>
                </c:pt>
                <c:pt idx="14">
                  <c:v>Month 15</c:v>
                </c:pt>
                <c:pt idx="15">
                  <c:v>Month 16</c:v>
                </c:pt>
                <c:pt idx="16">
                  <c:v>Month 17</c:v>
                </c:pt>
                <c:pt idx="17">
                  <c:v>Month 18</c:v>
                </c:pt>
                <c:pt idx="18">
                  <c:v>Month 19</c:v>
                </c:pt>
                <c:pt idx="19">
                  <c:v>Month 20</c:v>
                </c:pt>
                <c:pt idx="20">
                  <c:v>Month 21</c:v>
                </c:pt>
                <c:pt idx="21">
                  <c:v>Month 22</c:v>
                </c:pt>
                <c:pt idx="22">
                  <c:v>Month 23</c:v>
                </c:pt>
                <c:pt idx="23">
                  <c:v>Month 24</c:v>
                </c:pt>
                <c:pt idx="24">
                  <c:v>Month 25</c:v>
                </c:pt>
                <c:pt idx="25">
                  <c:v>Month 26</c:v>
                </c:pt>
                <c:pt idx="26">
                  <c:v>Month 27</c:v>
                </c:pt>
                <c:pt idx="27">
                  <c:v>Month 28</c:v>
                </c:pt>
                <c:pt idx="28">
                  <c:v>Month 29</c:v>
                </c:pt>
                <c:pt idx="29">
                  <c:v>Month 30</c:v>
                </c:pt>
                <c:pt idx="30">
                  <c:v>Month 31</c:v>
                </c:pt>
                <c:pt idx="31">
                  <c:v>Month 32</c:v>
                </c:pt>
                <c:pt idx="32">
                  <c:v>Month 33</c:v>
                </c:pt>
                <c:pt idx="33">
                  <c:v>Month 34</c:v>
                </c:pt>
                <c:pt idx="34">
                  <c:v>Month 35</c:v>
                </c:pt>
                <c:pt idx="35">
                  <c:v>Month 36</c:v>
                </c:pt>
                <c:pt idx="36">
                  <c:v>Month 37</c:v>
                </c:pt>
                <c:pt idx="37">
                  <c:v>Month 38</c:v>
                </c:pt>
                <c:pt idx="38">
                  <c:v>Month 39</c:v>
                </c:pt>
                <c:pt idx="39">
                  <c:v>Month 40</c:v>
                </c:pt>
                <c:pt idx="40">
                  <c:v>Month 41</c:v>
                </c:pt>
                <c:pt idx="41">
                  <c:v>Month 42</c:v>
                </c:pt>
                <c:pt idx="42">
                  <c:v>Month 43</c:v>
                </c:pt>
                <c:pt idx="43">
                  <c:v>Month 44</c:v>
                </c:pt>
                <c:pt idx="44">
                  <c:v>Month 45</c:v>
                </c:pt>
                <c:pt idx="45">
                  <c:v>Month 46</c:v>
                </c:pt>
                <c:pt idx="46">
                  <c:v>Month 47</c:v>
                </c:pt>
                <c:pt idx="47">
                  <c:v>Month 48</c:v>
                </c:pt>
                <c:pt idx="48">
                  <c:v>Month 49</c:v>
                </c:pt>
                <c:pt idx="49">
                  <c:v>Month 50</c:v>
                </c:pt>
                <c:pt idx="50">
                  <c:v>Month 51</c:v>
                </c:pt>
                <c:pt idx="51">
                  <c:v>Month 52</c:v>
                </c:pt>
                <c:pt idx="52">
                  <c:v>Month 53</c:v>
                </c:pt>
                <c:pt idx="53">
                  <c:v>Month 54</c:v>
                </c:pt>
                <c:pt idx="54">
                  <c:v>Month 55</c:v>
                </c:pt>
                <c:pt idx="55">
                  <c:v>Month 56</c:v>
                </c:pt>
                <c:pt idx="56">
                  <c:v>Month 57</c:v>
                </c:pt>
                <c:pt idx="57">
                  <c:v>Month 58</c:v>
                </c:pt>
                <c:pt idx="58">
                  <c:v>Month 59</c:v>
                </c:pt>
                <c:pt idx="59">
                  <c:v>Month 60</c:v>
                </c:pt>
              </c:strCache>
            </c:strRef>
          </c:cat>
          <c:val>
            <c:numRef>
              <c:f>'Income Statement Projections'!$B$137:$BI$137</c:f>
              <c:numCache>
                <c:formatCode>_(* #,##0_);_(* \(#,##0\);_(* "-"??_);_(@_)</c:formatCode>
                <c:ptCount val="60"/>
                <c:pt idx="0">
                  <c:v>21433.5</c:v>
                </c:pt>
                <c:pt idx="1">
                  <c:v>23382</c:v>
                </c:pt>
                <c:pt idx="2">
                  <c:v>25330.5</c:v>
                </c:pt>
                <c:pt idx="3">
                  <c:v>27279</c:v>
                </c:pt>
                <c:pt idx="4">
                  <c:v>29227.5</c:v>
                </c:pt>
                <c:pt idx="5">
                  <c:v>31176</c:v>
                </c:pt>
                <c:pt idx="6">
                  <c:v>33124.5</c:v>
                </c:pt>
                <c:pt idx="7">
                  <c:v>35073</c:v>
                </c:pt>
                <c:pt idx="8">
                  <c:v>37021.5</c:v>
                </c:pt>
                <c:pt idx="9">
                  <c:v>38970</c:v>
                </c:pt>
                <c:pt idx="10">
                  <c:v>40918.5</c:v>
                </c:pt>
                <c:pt idx="11">
                  <c:v>42867</c:v>
                </c:pt>
                <c:pt idx="12">
                  <c:v>44815.5</c:v>
                </c:pt>
                <c:pt idx="13">
                  <c:v>46764</c:v>
                </c:pt>
                <c:pt idx="14">
                  <c:v>48712.5</c:v>
                </c:pt>
                <c:pt idx="15">
                  <c:v>50661</c:v>
                </c:pt>
                <c:pt idx="16">
                  <c:v>52609.5</c:v>
                </c:pt>
                <c:pt idx="17">
                  <c:v>54558</c:v>
                </c:pt>
                <c:pt idx="18">
                  <c:v>56506.5</c:v>
                </c:pt>
                <c:pt idx="19">
                  <c:v>58455</c:v>
                </c:pt>
                <c:pt idx="20">
                  <c:v>60403.5</c:v>
                </c:pt>
                <c:pt idx="21">
                  <c:v>62352</c:v>
                </c:pt>
                <c:pt idx="22">
                  <c:v>64300.5</c:v>
                </c:pt>
                <c:pt idx="23">
                  <c:v>66249</c:v>
                </c:pt>
                <c:pt idx="24">
                  <c:v>68197.5</c:v>
                </c:pt>
                <c:pt idx="25">
                  <c:v>70146</c:v>
                </c:pt>
                <c:pt idx="26">
                  <c:v>72094.5</c:v>
                </c:pt>
                <c:pt idx="27">
                  <c:v>74043</c:v>
                </c:pt>
                <c:pt idx="28">
                  <c:v>75991.5</c:v>
                </c:pt>
                <c:pt idx="29">
                  <c:v>77940</c:v>
                </c:pt>
                <c:pt idx="30">
                  <c:v>79888.5</c:v>
                </c:pt>
                <c:pt idx="31">
                  <c:v>81837</c:v>
                </c:pt>
                <c:pt idx="32">
                  <c:v>83785.5</c:v>
                </c:pt>
                <c:pt idx="33">
                  <c:v>85734</c:v>
                </c:pt>
                <c:pt idx="34">
                  <c:v>87682.5</c:v>
                </c:pt>
                <c:pt idx="35">
                  <c:v>89631</c:v>
                </c:pt>
                <c:pt idx="36">
                  <c:v>91579.5</c:v>
                </c:pt>
                <c:pt idx="37">
                  <c:v>93528</c:v>
                </c:pt>
                <c:pt idx="38">
                  <c:v>95476.5</c:v>
                </c:pt>
                <c:pt idx="39">
                  <c:v>97425</c:v>
                </c:pt>
                <c:pt idx="40">
                  <c:v>99373.5</c:v>
                </c:pt>
                <c:pt idx="41">
                  <c:v>101322</c:v>
                </c:pt>
                <c:pt idx="42">
                  <c:v>103270.5</c:v>
                </c:pt>
                <c:pt idx="43">
                  <c:v>105219</c:v>
                </c:pt>
                <c:pt idx="44">
                  <c:v>107167.5</c:v>
                </c:pt>
                <c:pt idx="45">
                  <c:v>109116</c:v>
                </c:pt>
                <c:pt idx="46">
                  <c:v>111064.5</c:v>
                </c:pt>
                <c:pt idx="47">
                  <c:v>113013</c:v>
                </c:pt>
                <c:pt idx="48">
                  <c:v>113987.25</c:v>
                </c:pt>
                <c:pt idx="49">
                  <c:v>114961.5</c:v>
                </c:pt>
                <c:pt idx="50">
                  <c:v>115935.75</c:v>
                </c:pt>
                <c:pt idx="51">
                  <c:v>116910</c:v>
                </c:pt>
                <c:pt idx="52">
                  <c:v>117884.25</c:v>
                </c:pt>
                <c:pt idx="53">
                  <c:v>118858.5</c:v>
                </c:pt>
                <c:pt idx="54">
                  <c:v>119832.75</c:v>
                </c:pt>
                <c:pt idx="55">
                  <c:v>120807</c:v>
                </c:pt>
                <c:pt idx="56">
                  <c:v>121781.25</c:v>
                </c:pt>
                <c:pt idx="57">
                  <c:v>122755.5</c:v>
                </c:pt>
                <c:pt idx="58">
                  <c:v>123729.75</c:v>
                </c:pt>
                <c:pt idx="59">
                  <c:v>124704</c:v>
                </c:pt>
              </c:numCache>
            </c:numRef>
          </c:val>
          <c:smooth val="0"/>
          <c:extLst>
            <c:ext xmlns:c16="http://schemas.microsoft.com/office/drawing/2014/chart" uri="{C3380CC4-5D6E-409C-BE32-E72D297353CC}">
              <c16:uniqueId val="{00000000-02F0-4D97-8AFC-703782475512}"/>
            </c:ext>
          </c:extLst>
        </c:ser>
        <c:ser>
          <c:idx val="1"/>
          <c:order val="1"/>
          <c:tx>
            <c:strRef>
              <c:f>'Income Statement Projections'!$A$138</c:f>
              <c:strCache>
                <c:ptCount val="1"/>
                <c:pt idx="0">
                  <c:v>Total Expenses</c:v>
                </c:pt>
              </c:strCache>
            </c:strRef>
          </c:tx>
          <c:spPr>
            <a:ln w="28575" cap="rnd">
              <a:solidFill>
                <a:schemeClr val="accent2"/>
              </a:solidFill>
              <a:round/>
            </a:ln>
            <a:effectLst/>
          </c:spPr>
          <c:marker>
            <c:symbol val="none"/>
          </c:marker>
          <c:cat>
            <c:strRef>
              <c:f>'Income Statement Projections'!$B$136:$BI$136</c:f>
              <c:strCache>
                <c:ptCount val="60"/>
                <c:pt idx="0">
                  <c:v>Month 1</c:v>
                </c:pt>
                <c:pt idx="1">
                  <c:v>Month 2</c:v>
                </c:pt>
                <c:pt idx="2">
                  <c:v>Month 3</c:v>
                </c:pt>
                <c:pt idx="3">
                  <c:v>Month 4</c:v>
                </c:pt>
                <c:pt idx="4">
                  <c:v>Month 5</c:v>
                </c:pt>
                <c:pt idx="5">
                  <c:v>Month 6</c:v>
                </c:pt>
                <c:pt idx="6">
                  <c:v>Month 7</c:v>
                </c:pt>
                <c:pt idx="7">
                  <c:v>Month 8</c:v>
                </c:pt>
                <c:pt idx="8">
                  <c:v>Month 9</c:v>
                </c:pt>
                <c:pt idx="9">
                  <c:v>Month 10</c:v>
                </c:pt>
                <c:pt idx="10">
                  <c:v>Month 11</c:v>
                </c:pt>
                <c:pt idx="11">
                  <c:v>Month 12</c:v>
                </c:pt>
                <c:pt idx="12">
                  <c:v>Month 13</c:v>
                </c:pt>
                <c:pt idx="13">
                  <c:v>Month 14</c:v>
                </c:pt>
                <c:pt idx="14">
                  <c:v>Month 15</c:v>
                </c:pt>
                <c:pt idx="15">
                  <c:v>Month 16</c:v>
                </c:pt>
                <c:pt idx="16">
                  <c:v>Month 17</c:v>
                </c:pt>
                <c:pt idx="17">
                  <c:v>Month 18</c:v>
                </c:pt>
                <c:pt idx="18">
                  <c:v>Month 19</c:v>
                </c:pt>
                <c:pt idx="19">
                  <c:v>Month 20</c:v>
                </c:pt>
                <c:pt idx="20">
                  <c:v>Month 21</c:v>
                </c:pt>
                <c:pt idx="21">
                  <c:v>Month 22</c:v>
                </c:pt>
                <c:pt idx="22">
                  <c:v>Month 23</c:v>
                </c:pt>
                <c:pt idx="23">
                  <c:v>Month 24</c:v>
                </c:pt>
                <c:pt idx="24">
                  <c:v>Month 25</c:v>
                </c:pt>
                <c:pt idx="25">
                  <c:v>Month 26</c:v>
                </c:pt>
                <c:pt idx="26">
                  <c:v>Month 27</c:v>
                </c:pt>
                <c:pt idx="27">
                  <c:v>Month 28</c:v>
                </c:pt>
                <c:pt idx="28">
                  <c:v>Month 29</c:v>
                </c:pt>
                <c:pt idx="29">
                  <c:v>Month 30</c:v>
                </c:pt>
                <c:pt idx="30">
                  <c:v>Month 31</c:v>
                </c:pt>
                <c:pt idx="31">
                  <c:v>Month 32</c:v>
                </c:pt>
                <c:pt idx="32">
                  <c:v>Month 33</c:v>
                </c:pt>
                <c:pt idx="33">
                  <c:v>Month 34</c:v>
                </c:pt>
                <c:pt idx="34">
                  <c:v>Month 35</c:v>
                </c:pt>
                <c:pt idx="35">
                  <c:v>Month 36</c:v>
                </c:pt>
                <c:pt idx="36">
                  <c:v>Month 37</c:v>
                </c:pt>
                <c:pt idx="37">
                  <c:v>Month 38</c:v>
                </c:pt>
                <c:pt idx="38">
                  <c:v>Month 39</c:v>
                </c:pt>
                <c:pt idx="39">
                  <c:v>Month 40</c:v>
                </c:pt>
                <c:pt idx="40">
                  <c:v>Month 41</c:v>
                </c:pt>
                <c:pt idx="41">
                  <c:v>Month 42</c:v>
                </c:pt>
                <c:pt idx="42">
                  <c:v>Month 43</c:v>
                </c:pt>
                <c:pt idx="43">
                  <c:v>Month 44</c:v>
                </c:pt>
                <c:pt idx="44">
                  <c:v>Month 45</c:v>
                </c:pt>
                <c:pt idx="45">
                  <c:v>Month 46</c:v>
                </c:pt>
                <c:pt idx="46">
                  <c:v>Month 47</c:v>
                </c:pt>
                <c:pt idx="47">
                  <c:v>Month 48</c:v>
                </c:pt>
                <c:pt idx="48">
                  <c:v>Month 49</c:v>
                </c:pt>
                <c:pt idx="49">
                  <c:v>Month 50</c:v>
                </c:pt>
                <c:pt idx="50">
                  <c:v>Month 51</c:v>
                </c:pt>
                <c:pt idx="51">
                  <c:v>Month 52</c:v>
                </c:pt>
                <c:pt idx="52">
                  <c:v>Month 53</c:v>
                </c:pt>
                <c:pt idx="53">
                  <c:v>Month 54</c:v>
                </c:pt>
                <c:pt idx="54">
                  <c:v>Month 55</c:v>
                </c:pt>
                <c:pt idx="55">
                  <c:v>Month 56</c:v>
                </c:pt>
                <c:pt idx="56">
                  <c:v>Month 57</c:v>
                </c:pt>
                <c:pt idx="57">
                  <c:v>Month 58</c:v>
                </c:pt>
                <c:pt idx="58">
                  <c:v>Month 59</c:v>
                </c:pt>
                <c:pt idx="59">
                  <c:v>Month 60</c:v>
                </c:pt>
              </c:strCache>
            </c:strRef>
          </c:cat>
          <c:val>
            <c:numRef>
              <c:f>'Income Statement Projections'!$B$138:$BI$138</c:f>
              <c:numCache>
                <c:formatCode>_(* #,##0_);_(* \(#,##0\);_(* "-"??_);_(@_)</c:formatCode>
                <c:ptCount val="60"/>
                <c:pt idx="0">
                  <c:v>62985.099186012769</c:v>
                </c:pt>
                <c:pt idx="1">
                  <c:v>28697.496074143284</c:v>
                </c:pt>
                <c:pt idx="2">
                  <c:v>30307.321298266153</c:v>
                </c:pt>
                <c:pt idx="3">
                  <c:v>31917.074500061339</c:v>
                </c:pt>
                <c:pt idx="4">
                  <c:v>33526.7553194172</c:v>
                </c:pt>
                <c:pt idx="5">
                  <c:v>35136.36339442154</c:v>
                </c:pt>
                <c:pt idx="6">
                  <c:v>36745.898361352607</c:v>
                </c:pt>
                <c:pt idx="7">
                  <c:v>38355.35985467003</c:v>
                </c:pt>
                <c:pt idx="8">
                  <c:v>39964.747507005741</c:v>
                </c:pt>
                <c:pt idx="9">
                  <c:v>41574.060949154817</c:v>
                </c:pt>
                <c:pt idx="10">
                  <c:v>43183.299810066339</c:v>
                </c:pt>
                <c:pt idx="11">
                  <c:v>44792.463716834143</c:v>
                </c:pt>
                <c:pt idx="12">
                  <c:v>46401.55229468747</c:v>
                </c:pt>
                <c:pt idx="13">
                  <c:v>48010.56516698176</c:v>
                </c:pt>
                <c:pt idx="14">
                  <c:v>49619.501955189226</c:v>
                </c:pt>
                <c:pt idx="15">
                  <c:v>51228.362278889428</c:v>
                </c:pt>
                <c:pt idx="16">
                  <c:v>52837.145755759848</c:v>
                </c:pt>
                <c:pt idx="17">
                  <c:v>54445.852001566302</c:v>
                </c:pt>
                <c:pt idx="18">
                  <c:v>56054.480630153492</c:v>
                </c:pt>
                <c:pt idx="19">
                  <c:v>57663.031253435314</c:v>
                </c:pt>
                <c:pt idx="20">
                  <c:v>59271.503481385247</c:v>
                </c:pt>
                <c:pt idx="21">
                  <c:v>60879.89692202663</c:v>
                </c:pt>
                <c:pt idx="22">
                  <c:v>62488.211181422936</c:v>
                </c:pt>
                <c:pt idx="23">
                  <c:v>64096.445863667905</c:v>
                </c:pt>
                <c:pt idx="24">
                  <c:v>65704.600570875817</c:v>
                </c:pt>
                <c:pt idx="25">
                  <c:v>67312.674903171443</c:v>
                </c:pt>
                <c:pt idx="26">
                  <c:v>68920.668458680258</c:v>
                </c:pt>
                <c:pt idx="27">
                  <c:v>70528.580833518339</c:v>
                </c:pt>
                <c:pt idx="28">
                  <c:v>72136.411621782274</c:v>
                </c:pt>
                <c:pt idx="29">
                  <c:v>73744.160415539256</c:v>
                </c:pt>
                <c:pt idx="30">
                  <c:v>75351.826804816708</c:v>
                </c:pt>
                <c:pt idx="31">
                  <c:v>76959.410377592256</c:v>
                </c:pt>
                <c:pt idx="32">
                  <c:v>78566.91071978338</c:v>
                </c:pt>
                <c:pt idx="33">
                  <c:v>80174.327415237174</c:v>
                </c:pt>
                <c:pt idx="34">
                  <c:v>81781.660045719924</c:v>
                </c:pt>
                <c:pt idx="35">
                  <c:v>83388.908190906775</c:v>
                </c:pt>
                <c:pt idx="36">
                  <c:v>84996.071428371288</c:v>
                </c:pt>
                <c:pt idx="37">
                  <c:v>86603.149333574795</c:v>
                </c:pt>
                <c:pt idx="38">
                  <c:v>88210.141479856044</c:v>
                </c:pt>
                <c:pt idx="39">
                  <c:v>89817.047438420384</c:v>
                </c:pt>
                <c:pt idx="40">
                  <c:v>91423.866778329248</c:v>
                </c:pt>
                <c:pt idx="41">
                  <c:v>93030.599066489362</c:v>
                </c:pt>
                <c:pt idx="42">
                  <c:v>94637.24386764197</c:v>
                </c:pt>
                <c:pt idx="43">
                  <c:v>96243.800744352047</c:v>
                </c:pt>
                <c:pt idx="44">
                  <c:v>97850.269256997359</c:v>
                </c:pt>
                <c:pt idx="45">
                  <c:v>99456.648963757631</c:v>
                </c:pt>
                <c:pt idx="46">
                  <c:v>101062.93942060339</c:v>
                </c:pt>
                <c:pt idx="47">
                  <c:v>102669.14018128505</c:v>
                </c:pt>
                <c:pt idx="48">
                  <c:v>103463.13595249188</c:v>
                </c:pt>
                <c:pt idx="49">
                  <c:v>104257.04112833057</c:v>
                </c:pt>
                <c:pt idx="50">
                  <c:v>105050.85525582434</c:v>
                </c:pt>
                <c:pt idx="51">
                  <c:v>105844.5778797314</c:v>
                </c:pt>
                <c:pt idx="52">
                  <c:v>106638.20854253384</c:v>
                </c:pt>
                <c:pt idx="53">
                  <c:v>107431.74678442617</c:v>
                </c:pt>
                <c:pt idx="54">
                  <c:v>108225.19214330379</c:v>
                </c:pt>
                <c:pt idx="55">
                  <c:v>109018.54415475164</c:v>
                </c:pt>
                <c:pt idx="56">
                  <c:v>109811.8023520326</c:v>
                </c:pt>
                <c:pt idx="57">
                  <c:v>110604.96626607583</c:v>
                </c:pt>
                <c:pt idx="58">
                  <c:v>111398.03542546507</c:v>
                </c:pt>
                <c:pt idx="59">
                  <c:v>112191.00935642714</c:v>
                </c:pt>
              </c:numCache>
            </c:numRef>
          </c:val>
          <c:smooth val="0"/>
          <c:extLst>
            <c:ext xmlns:c16="http://schemas.microsoft.com/office/drawing/2014/chart" uri="{C3380CC4-5D6E-409C-BE32-E72D297353CC}">
              <c16:uniqueId val="{00000001-02F0-4D97-8AFC-703782475512}"/>
            </c:ext>
          </c:extLst>
        </c:ser>
        <c:dLbls>
          <c:showLegendKey val="0"/>
          <c:showVal val="0"/>
          <c:showCatName val="0"/>
          <c:showSerName val="0"/>
          <c:showPercent val="0"/>
          <c:showBubbleSize val="0"/>
        </c:dLbls>
        <c:smooth val="0"/>
        <c:axId val="377854624"/>
        <c:axId val="377857760"/>
      </c:lineChart>
      <c:catAx>
        <c:axId val="37785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857760"/>
        <c:crosses val="autoZero"/>
        <c:auto val="0"/>
        <c:lblAlgn val="ctr"/>
        <c:lblOffset val="100"/>
        <c:tickLblSkip val="6"/>
        <c:tickMarkSkip val="1"/>
        <c:noMultiLvlLbl val="0"/>
      </c:catAx>
      <c:valAx>
        <c:axId val="37785776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7854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A$93" lockText="1"/>
</file>

<file path=xl/ctrlProps/ctrlProp10.xml><?xml version="1.0" encoding="utf-8"?>
<formControlPr xmlns="http://schemas.microsoft.com/office/spreadsheetml/2009/9/main" objectType="Scroll" dx="22" fmlaLink="'Data Entry'!$D$34" horiz="1" max="100" page="10" val="0"/>
</file>

<file path=xl/ctrlProps/ctrlProp11.xml><?xml version="1.0" encoding="utf-8"?>
<formControlPr xmlns="http://schemas.microsoft.com/office/spreadsheetml/2009/9/main" objectType="Scroll" dx="22" fmlaLink="'Data Entry'!$F$34" horiz="1" max="100" page="10" val="0"/>
</file>

<file path=xl/ctrlProps/ctrlProp12.xml><?xml version="1.0" encoding="utf-8"?>
<formControlPr xmlns="http://schemas.microsoft.com/office/spreadsheetml/2009/9/main" objectType="Scroll" dx="22" fmlaLink="'Data Entry'!$G$34" horiz="1" max="100" page="10" val="0"/>
</file>

<file path=xl/ctrlProps/ctrlProp13.xml><?xml version="1.0" encoding="utf-8"?>
<formControlPr xmlns="http://schemas.microsoft.com/office/spreadsheetml/2009/9/main" objectType="Scroll" dx="22" fmlaLink="'Data Entry'!$H$34" horiz="1" max="100" page="10" val="0"/>
</file>

<file path=xl/ctrlProps/ctrlProp14.xml><?xml version="1.0" encoding="utf-8"?>
<formControlPr xmlns="http://schemas.microsoft.com/office/spreadsheetml/2009/9/main" objectType="Scroll" dx="22" fmlaLink="'Data Entry'!$I$34" horiz="1" max="100" page="10" val="0"/>
</file>

<file path=xl/ctrlProps/ctrlProp15.xml><?xml version="1.0" encoding="utf-8"?>
<formControlPr xmlns="http://schemas.microsoft.com/office/spreadsheetml/2009/9/main" objectType="Scroll" dx="22" fmlaLink="'Data Entry'!$J$34" horiz="1" max="100" page="10" val="0"/>
</file>

<file path=xl/ctrlProps/ctrlProp2.xml><?xml version="1.0" encoding="utf-8"?>
<formControlPr xmlns="http://schemas.microsoft.com/office/spreadsheetml/2009/9/main" objectType="Spin" dx="22" fmlaLink="$A$98" inc="25" max="30000" page="10" val="200"/>
</file>

<file path=xl/ctrlProps/ctrlProp3.xml><?xml version="1.0" encoding="utf-8"?>
<formControlPr xmlns="http://schemas.microsoft.com/office/spreadsheetml/2009/9/main" objectType="Spin" dx="22" fmlaLink="'Data Entry'!$A$98" inc="25" max="30000" page="10" val="200"/>
</file>

<file path=xl/ctrlProps/ctrlProp4.xml><?xml version="1.0" encoding="utf-8"?>
<formControlPr xmlns="http://schemas.microsoft.com/office/spreadsheetml/2009/9/main" objectType="Scroll" dx="22" fmlaLink="'Data Entry'!$F$36" horiz="1" max="100" page="10" val="24"/>
</file>

<file path=xl/ctrlProps/ctrlProp5.xml><?xml version="1.0" encoding="utf-8"?>
<formControlPr xmlns="http://schemas.microsoft.com/office/spreadsheetml/2009/9/main" objectType="Scroll" dx="22" fmlaLink="'Data Entry'!$D$36" horiz="1" max="100" page="10" val="20"/>
</file>

<file path=xl/ctrlProps/ctrlProp6.xml><?xml version="1.0" encoding="utf-8"?>
<formControlPr xmlns="http://schemas.microsoft.com/office/spreadsheetml/2009/9/main" objectType="Scroll" dx="22" fmlaLink="'Data Entry'!$G$36" horiz="1" max="100" page="10" val="24"/>
</file>

<file path=xl/ctrlProps/ctrlProp7.xml><?xml version="1.0" encoding="utf-8"?>
<formControlPr xmlns="http://schemas.microsoft.com/office/spreadsheetml/2009/9/main" objectType="Scroll" dx="22" fmlaLink="'Data Entry'!$H$36" horiz="1" max="100" page="10" val="24"/>
</file>

<file path=xl/ctrlProps/ctrlProp8.xml><?xml version="1.0" encoding="utf-8"?>
<formControlPr xmlns="http://schemas.microsoft.com/office/spreadsheetml/2009/9/main" objectType="Scroll" dx="22" fmlaLink="'Data Entry'!$I$36" horiz="1" max="100" page="10" val="24"/>
</file>

<file path=xl/ctrlProps/ctrlProp9.xml><?xml version="1.0" encoding="utf-8"?>
<formControlPr xmlns="http://schemas.microsoft.com/office/spreadsheetml/2009/9/main" objectType="Scroll" dx="22" fmlaLink="'Data Entry'!$J$36" horiz="1" max="100" page="10" val="12"/>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13" Type="http://schemas.openxmlformats.org/officeDocument/2006/relationships/image" Target="../media/image12.emf"/><Relationship Id="rId18" Type="http://schemas.openxmlformats.org/officeDocument/2006/relationships/image" Target="../media/image7.emf"/><Relationship Id="rId3" Type="http://schemas.openxmlformats.org/officeDocument/2006/relationships/image" Target="../media/image22.emf"/><Relationship Id="rId21" Type="http://schemas.openxmlformats.org/officeDocument/2006/relationships/image" Target="../media/image4.emf"/><Relationship Id="rId7" Type="http://schemas.openxmlformats.org/officeDocument/2006/relationships/image" Target="../media/image18.emf"/><Relationship Id="rId12" Type="http://schemas.openxmlformats.org/officeDocument/2006/relationships/image" Target="../media/image13.emf"/><Relationship Id="rId17" Type="http://schemas.openxmlformats.org/officeDocument/2006/relationships/image" Target="../media/image8.emf"/><Relationship Id="rId2" Type="http://schemas.openxmlformats.org/officeDocument/2006/relationships/image" Target="../media/image23.emf"/><Relationship Id="rId16" Type="http://schemas.openxmlformats.org/officeDocument/2006/relationships/image" Target="../media/image9.emf"/><Relationship Id="rId20" Type="http://schemas.openxmlformats.org/officeDocument/2006/relationships/image" Target="../media/image5.emf"/><Relationship Id="rId1" Type="http://schemas.openxmlformats.org/officeDocument/2006/relationships/image" Target="../media/image24.emf"/><Relationship Id="rId6" Type="http://schemas.openxmlformats.org/officeDocument/2006/relationships/image" Target="../media/image19.emf"/><Relationship Id="rId11" Type="http://schemas.openxmlformats.org/officeDocument/2006/relationships/image" Target="../media/image14.emf"/><Relationship Id="rId24" Type="http://schemas.openxmlformats.org/officeDocument/2006/relationships/image" Target="../media/image1.emf"/><Relationship Id="rId5" Type="http://schemas.openxmlformats.org/officeDocument/2006/relationships/image" Target="../media/image20.emf"/><Relationship Id="rId15" Type="http://schemas.openxmlformats.org/officeDocument/2006/relationships/image" Target="../media/image10.emf"/><Relationship Id="rId23" Type="http://schemas.openxmlformats.org/officeDocument/2006/relationships/image" Target="../media/image2.emf"/><Relationship Id="rId10" Type="http://schemas.openxmlformats.org/officeDocument/2006/relationships/image" Target="../media/image15.emf"/><Relationship Id="rId19" Type="http://schemas.openxmlformats.org/officeDocument/2006/relationships/image" Target="../media/image6.emf"/><Relationship Id="rId4" Type="http://schemas.openxmlformats.org/officeDocument/2006/relationships/image" Target="../media/image21.emf"/><Relationship Id="rId9" Type="http://schemas.openxmlformats.org/officeDocument/2006/relationships/image" Target="../media/image16.emf"/><Relationship Id="rId14" Type="http://schemas.openxmlformats.org/officeDocument/2006/relationships/image" Target="../media/image11.emf"/><Relationship Id="rId22"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676275</xdr:colOff>
          <xdr:row>92</xdr:row>
          <xdr:rowOff>19050</xdr:rowOff>
        </xdr:from>
        <xdr:to>
          <xdr:col>3</xdr:col>
          <xdr:colOff>1000125</xdr:colOff>
          <xdr:row>92</xdr:row>
          <xdr:rowOff>304800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59</xdr:row>
          <xdr:rowOff>123825</xdr:rowOff>
        </xdr:from>
        <xdr:to>
          <xdr:col>6</xdr:col>
          <xdr:colOff>371475</xdr:colOff>
          <xdr:row>59</xdr:row>
          <xdr:rowOff>371475</xdr:rowOff>
        </xdr:to>
        <xdr:sp macro="" textlink="">
          <xdr:nvSpPr>
            <xdr:cNvPr id="1068" name="CommandButton1"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62</xdr:row>
          <xdr:rowOff>104775</xdr:rowOff>
        </xdr:from>
        <xdr:to>
          <xdr:col>6</xdr:col>
          <xdr:colOff>361950</xdr:colOff>
          <xdr:row>62</xdr:row>
          <xdr:rowOff>342900</xdr:rowOff>
        </xdr:to>
        <xdr:sp macro="" textlink="">
          <xdr:nvSpPr>
            <xdr:cNvPr id="1072" name="CommandButton2"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63</xdr:row>
          <xdr:rowOff>104775</xdr:rowOff>
        </xdr:from>
        <xdr:to>
          <xdr:col>6</xdr:col>
          <xdr:colOff>371475</xdr:colOff>
          <xdr:row>63</xdr:row>
          <xdr:rowOff>342900</xdr:rowOff>
        </xdr:to>
        <xdr:sp macro="" textlink="">
          <xdr:nvSpPr>
            <xdr:cNvPr id="1074" name="CommandButton3"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64</xdr:row>
          <xdr:rowOff>104775</xdr:rowOff>
        </xdr:from>
        <xdr:to>
          <xdr:col>6</xdr:col>
          <xdr:colOff>390525</xdr:colOff>
          <xdr:row>64</xdr:row>
          <xdr:rowOff>342900</xdr:rowOff>
        </xdr:to>
        <xdr:sp macro="" textlink="">
          <xdr:nvSpPr>
            <xdr:cNvPr id="1075" name="CommandButton4"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66</xdr:row>
          <xdr:rowOff>104775</xdr:rowOff>
        </xdr:from>
        <xdr:to>
          <xdr:col>6</xdr:col>
          <xdr:colOff>390525</xdr:colOff>
          <xdr:row>66</xdr:row>
          <xdr:rowOff>342900</xdr:rowOff>
        </xdr:to>
        <xdr:sp macro="" textlink="">
          <xdr:nvSpPr>
            <xdr:cNvPr id="1076" name="CommandButton5"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67</xdr:row>
          <xdr:rowOff>104775</xdr:rowOff>
        </xdr:from>
        <xdr:to>
          <xdr:col>6</xdr:col>
          <xdr:colOff>390525</xdr:colOff>
          <xdr:row>67</xdr:row>
          <xdr:rowOff>342900</xdr:rowOff>
        </xdr:to>
        <xdr:sp macro="" textlink="">
          <xdr:nvSpPr>
            <xdr:cNvPr id="1078" name="CommandButton6"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68</xdr:row>
          <xdr:rowOff>104775</xdr:rowOff>
        </xdr:from>
        <xdr:to>
          <xdr:col>6</xdr:col>
          <xdr:colOff>390525</xdr:colOff>
          <xdr:row>68</xdr:row>
          <xdr:rowOff>342900</xdr:rowOff>
        </xdr:to>
        <xdr:sp macro="" textlink="">
          <xdr:nvSpPr>
            <xdr:cNvPr id="1079" name="CommandButton7"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69</xdr:row>
          <xdr:rowOff>104775</xdr:rowOff>
        </xdr:from>
        <xdr:to>
          <xdr:col>6</xdr:col>
          <xdr:colOff>390525</xdr:colOff>
          <xdr:row>69</xdr:row>
          <xdr:rowOff>342900</xdr:rowOff>
        </xdr:to>
        <xdr:sp macro="" textlink="">
          <xdr:nvSpPr>
            <xdr:cNvPr id="1081" name="CommandButton8"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xdr:row>
          <xdr:rowOff>47625</xdr:rowOff>
        </xdr:from>
        <xdr:to>
          <xdr:col>6</xdr:col>
          <xdr:colOff>361950</xdr:colOff>
          <xdr:row>10</xdr:row>
          <xdr:rowOff>57150</xdr:rowOff>
        </xdr:to>
        <xdr:sp macro="" textlink="">
          <xdr:nvSpPr>
            <xdr:cNvPr id="1092" name="CommandButton9"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47625</xdr:rowOff>
        </xdr:from>
        <xdr:to>
          <xdr:col>6</xdr:col>
          <xdr:colOff>361950</xdr:colOff>
          <xdr:row>14</xdr:row>
          <xdr:rowOff>57150</xdr:rowOff>
        </xdr:to>
        <xdr:sp macro="" textlink="">
          <xdr:nvSpPr>
            <xdr:cNvPr id="1093" name="CommandButton10"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47625</xdr:rowOff>
        </xdr:from>
        <xdr:to>
          <xdr:col>6</xdr:col>
          <xdr:colOff>361950</xdr:colOff>
          <xdr:row>18</xdr:row>
          <xdr:rowOff>57150</xdr:rowOff>
        </xdr:to>
        <xdr:sp macro="" textlink="">
          <xdr:nvSpPr>
            <xdr:cNvPr id="1094" name="CommandButton11"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20</xdr:row>
          <xdr:rowOff>28575</xdr:rowOff>
        </xdr:from>
        <xdr:to>
          <xdr:col>6</xdr:col>
          <xdr:colOff>361950</xdr:colOff>
          <xdr:row>20</xdr:row>
          <xdr:rowOff>304800</xdr:rowOff>
        </xdr:to>
        <xdr:sp macro="" textlink="">
          <xdr:nvSpPr>
            <xdr:cNvPr id="1095" name="CommandButton12"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0</xdr:rowOff>
        </xdr:from>
        <xdr:to>
          <xdr:col>6</xdr:col>
          <xdr:colOff>361950</xdr:colOff>
          <xdr:row>23</xdr:row>
          <xdr:rowOff>276225</xdr:rowOff>
        </xdr:to>
        <xdr:sp macro="" textlink="">
          <xdr:nvSpPr>
            <xdr:cNvPr id="1096" name="CommandButton13"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24</xdr:row>
          <xdr:rowOff>209550</xdr:rowOff>
        </xdr:from>
        <xdr:to>
          <xdr:col>6</xdr:col>
          <xdr:colOff>371475</xdr:colOff>
          <xdr:row>25</xdr:row>
          <xdr:rowOff>266700</xdr:rowOff>
        </xdr:to>
        <xdr:sp macro="" textlink="">
          <xdr:nvSpPr>
            <xdr:cNvPr id="1097" name="CommandButton14"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81</xdr:row>
          <xdr:rowOff>76200</xdr:rowOff>
        </xdr:from>
        <xdr:to>
          <xdr:col>6</xdr:col>
          <xdr:colOff>390525</xdr:colOff>
          <xdr:row>81</xdr:row>
          <xdr:rowOff>314325</xdr:rowOff>
        </xdr:to>
        <xdr:sp macro="" textlink="">
          <xdr:nvSpPr>
            <xdr:cNvPr id="1098" name="CommandButton15"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42</xdr:row>
          <xdr:rowOff>0</xdr:rowOff>
        </xdr:from>
        <xdr:to>
          <xdr:col>6</xdr:col>
          <xdr:colOff>371475</xdr:colOff>
          <xdr:row>42</xdr:row>
          <xdr:rowOff>247650</xdr:rowOff>
        </xdr:to>
        <xdr:sp macro="" textlink="">
          <xdr:nvSpPr>
            <xdr:cNvPr id="1099" name="CommandButton16"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44</xdr:row>
          <xdr:rowOff>76200</xdr:rowOff>
        </xdr:from>
        <xdr:to>
          <xdr:col>6</xdr:col>
          <xdr:colOff>466725</xdr:colOff>
          <xdr:row>45</xdr:row>
          <xdr:rowOff>123825</xdr:rowOff>
        </xdr:to>
        <xdr:sp macro="" textlink="">
          <xdr:nvSpPr>
            <xdr:cNvPr id="1100" name="CommandButton17"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123825</xdr:colOff>
          <xdr:row>97</xdr:row>
          <xdr:rowOff>28575</xdr:rowOff>
        </xdr:from>
        <xdr:to>
          <xdr:col>5</xdr:col>
          <xdr:colOff>419100</xdr:colOff>
          <xdr:row>97</xdr:row>
          <xdr:rowOff>333375</xdr:rowOff>
        </xdr:to>
        <xdr:sp macro="" textlink="">
          <xdr:nvSpPr>
            <xdr:cNvPr id="1101" name="Spinner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84</xdr:row>
          <xdr:rowOff>104775</xdr:rowOff>
        </xdr:from>
        <xdr:to>
          <xdr:col>6</xdr:col>
          <xdr:colOff>371475</xdr:colOff>
          <xdr:row>84</xdr:row>
          <xdr:rowOff>342900</xdr:rowOff>
        </xdr:to>
        <xdr:sp macro="" textlink="">
          <xdr:nvSpPr>
            <xdr:cNvPr id="1103" name="CommandButton1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85</xdr:row>
          <xdr:rowOff>142875</xdr:rowOff>
        </xdr:from>
        <xdr:to>
          <xdr:col>6</xdr:col>
          <xdr:colOff>371475</xdr:colOff>
          <xdr:row>85</xdr:row>
          <xdr:rowOff>381000</xdr:rowOff>
        </xdr:to>
        <xdr:sp macro="" textlink="">
          <xdr:nvSpPr>
            <xdr:cNvPr id="1104" name="CommandButton1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86</xdr:row>
          <xdr:rowOff>142875</xdr:rowOff>
        </xdr:from>
        <xdr:to>
          <xdr:col>6</xdr:col>
          <xdr:colOff>371475</xdr:colOff>
          <xdr:row>86</xdr:row>
          <xdr:rowOff>381000</xdr:rowOff>
        </xdr:to>
        <xdr:sp macro="" textlink="">
          <xdr:nvSpPr>
            <xdr:cNvPr id="1105" name="CommandButton2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87</xdr:row>
          <xdr:rowOff>142875</xdr:rowOff>
        </xdr:from>
        <xdr:to>
          <xdr:col>6</xdr:col>
          <xdr:colOff>371475</xdr:colOff>
          <xdr:row>87</xdr:row>
          <xdr:rowOff>381000</xdr:rowOff>
        </xdr:to>
        <xdr:sp macro="" textlink="">
          <xdr:nvSpPr>
            <xdr:cNvPr id="1106" name="CommandButton2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88</xdr:row>
          <xdr:rowOff>142875</xdr:rowOff>
        </xdr:from>
        <xdr:to>
          <xdr:col>6</xdr:col>
          <xdr:colOff>371475</xdr:colOff>
          <xdr:row>88</xdr:row>
          <xdr:rowOff>381000</xdr:rowOff>
        </xdr:to>
        <xdr:sp macro="" textlink="">
          <xdr:nvSpPr>
            <xdr:cNvPr id="1107" name="CommandButton2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91</xdr:row>
          <xdr:rowOff>57150</xdr:rowOff>
        </xdr:from>
        <xdr:to>
          <xdr:col>6</xdr:col>
          <xdr:colOff>361950</xdr:colOff>
          <xdr:row>91</xdr:row>
          <xdr:rowOff>295275</xdr:rowOff>
        </xdr:to>
        <xdr:sp macro="" textlink="">
          <xdr:nvSpPr>
            <xdr:cNvPr id="1108" name="CommandButton2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94</xdr:row>
          <xdr:rowOff>57150</xdr:rowOff>
        </xdr:from>
        <xdr:to>
          <xdr:col>6</xdr:col>
          <xdr:colOff>466725</xdr:colOff>
          <xdr:row>94</xdr:row>
          <xdr:rowOff>333375</xdr:rowOff>
        </xdr:to>
        <xdr:sp macro="" textlink="">
          <xdr:nvSpPr>
            <xdr:cNvPr id="1109" name="CommandButton2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438150</xdr:colOff>
      <xdr:row>96</xdr:row>
      <xdr:rowOff>180975</xdr:rowOff>
    </xdr:from>
    <xdr:to>
      <xdr:col>7</xdr:col>
      <xdr:colOff>57150</xdr:colOff>
      <xdr:row>98</xdr:row>
      <xdr:rowOff>85725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772025" y="20297775"/>
          <a:ext cx="1009650"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Use</a:t>
          </a:r>
          <a:r>
            <a:rPr lang="en-US" sz="1100" i="1" baseline="0"/>
            <a:t> arrows to adjust amount</a:t>
          </a:r>
          <a:endParaRPr lang="en-US" sz="1100"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304800</xdr:colOff>
      <xdr:row>31</xdr:row>
      <xdr:rowOff>180975</xdr:rowOff>
    </xdr:from>
    <xdr:to>
      <xdr:col>17</xdr:col>
      <xdr:colOff>426508</xdr:colOff>
      <xdr:row>42</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3</xdr:col>
          <xdr:colOff>66675</xdr:colOff>
          <xdr:row>28</xdr:row>
          <xdr:rowOff>38100</xdr:rowOff>
        </xdr:from>
        <xdr:to>
          <xdr:col>3</xdr:col>
          <xdr:colOff>466725</xdr:colOff>
          <xdr:row>28</xdr:row>
          <xdr:rowOff>381000</xdr:rowOff>
        </xdr:to>
        <xdr:sp macro="" textlink="">
          <xdr:nvSpPr>
            <xdr:cNvPr id="2049" name="Spinner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276225</xdr:rowOff>
        </xdr:from>
        <xdr:to>
          <xdr:col>3</xdr:col>
          <xdr:colOff>695325</xdr:colOff>
          <xdr:row>39</xdr:row>
          <xdr:rowOff>476250</xdr:rowOff>
        </xdr:to>
        <xdr:sp macro="" textlink="">
          <xdr:nvSpPr>
            <xdr:cNvPr id="2050" name="Scroll Bar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39</xdr:row>
          <xdr:rowOff>266700</xdr:rowOff>
        </xdr:from>
        <xdr:to>
          <xdr:col>2</xdr:col>
          <xdr:colOff>971550</xdr:colOff>
          <xdr:row>39</xdr:row>
          <xdr:rowOff>466725</xdr:rowOff>
        </xdr:to>
        <xdr:sp macro="" textlink="">
          <xdr:nvSpPr>
            <xdr:cNvPr id="2052" name="Scroll Bar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39</xdr:row>
          <xdr:rowOff>276225</xdr:rowOff>
        </xdr:from>
        <xdr:to>
          <xdr:col>4</xdr:col>
          <xdr:colOff>695325</xdr:colOff>
          <xdr:row>39</xdr:row>
          <xdr:rowOff>476250</xdr:rowOff>
        </xdr:to>
        <xdr:sp macro="" textlink="">
          <xdr:nvSpPr>
            <xdr:cNvPr id="2053" name="Scroll Bar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xdr:row>
          <xdr:rowOff>276225</xdr:rowOff>
        </xdr:from>
        <xdr:to>
          <xdr:col>5</xdr:col>
          <xdr:colOff>695325</xdr:colOff>
          <xdr:row>39</xdr:row>
          <xdr:rowOff>476250</xdr:rowOff>
        </xdr:to>
        <xdr:sp macro="" textlink="">
          <xdr:nvSpPr>
            <xdr:cNvPr id="2054" name="Scroll Bar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276225</xdr:rowOff>
        </xdr:from>
        <xdr:to>
          <xdr:col>6</xdr:col>
          <xdr:colOff>695325</xdr:colOff>
          <xdr:row>39</xdr:row>
          <xdr:rowOff>476250</xdr:rowOff>
        </xdr:to>
        <xdr:sp macro="" textlink="">
          <xdr:nvSpPr>
            <xdr:cNvPr id="2055" name="Scroll Bar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39</xdr:row>
          <xdr:rowOff>276225</xdr:rowOff>
        </xdr:from>
        <xdr:to>
          <xdr:col>7</xdr:col>
          <xdr:colOff>695325</xdr:colOff>
          <xdr:row>39</xdr:row>
          <xdr:rowOff>476250</xdr:rowOff>
        </xdr:to>
        <xdr:sp macro="" textlink="">
          <xdr:nvSpPr>
            <xdr:cNvPr id="2056" name="Scroll Bar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37</xdr:row>
          <xdr:rowOff>276225</xdr:rowOff>
        </xdr:from>
        <xdr:to>
          <xdr:col>2</xdr:col>
          <xdr:colOff>952500</xdr:colOff>
          <xdr:row>37</xdr:row>
          <xdr:rowOff>485775</xdr:rowOff>
        </xdr:to>
        <xdr:sp macro="" textlink="">
          <xdr:nvSpPr>
            <xdr:cNvPr id="2057" name="Scroll Bar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37</xdr:row>
          <xdr:rowOff>276225</xdr:rowOff>
        </xdr:from>
        <xdr:to>
          <xdr:col>3</xdr:col>
          <xdr:colOff>695325</xdr:colOff>
          <xdr:row>37</xdr:row>
          <xdr:rowOff>476250</xdr:rowOff>
        </xdr:to>
        <xdr:sp macro="" textlink="">
          <xdr:nvSpPr>
            <xdr:cNvPr id="2059" name="Scroll Bar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276225</xdr:rowOff>
        </xdr:from>
        <xdr:to>
          <xdr:col>4</xdr:col>
          <xdr:colOff>695325</xdr:colOff>
          <xdr:row>37</xdr:row>
          <xdr:rowOff>476250</xdr:rowOff>
        </xdr:to>
        <xdr:sp macro="" textlink="">
          <xdr:nvSpPr>
            <xdr:cNvPr id="2060" name="Scroll Bar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37</xdr:row>
          <xdr:rowOff>276225</xdr:rowOff>
        </xdr:from>
        <xdr:to>
          <xdr:col>5</xdr:col>
          <xdr:colOff>695325</xdr:colOff>
          <xdr:row>37</xdr:row>
          <xdr:rowOff>476250</xdr:rowOff>
        </xdr:to>
        <xdr:sp macro="" textlink="">
          <xdr:nvSpPr>
            <xdr:cNvPr id="2061" name="Scroll Bar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276225</xdr:rowOff>
        </xdr:from>
        <xdr:to>
          <xdr:col>6</xdr:col>
          <xdr:colOff>695325</xdr:colOff>
          <xdr:row>37</xdr:row>
          <xdr:rowOff>476250</xdr:rowOff>
        </xdr:to>
        <xdr:sp macro="" textlink="">
          <xdr:nvSpPr>
            <xdr:cNvPr id="2062" name="Scroll Bar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37</xdr:row>
          <xdr:rowOff>276225</xdr:rowOff>
        </xdr:from>
        <xdr:to>
          <xdr:col>7</xdr:col>
          <xdr:colOff>695325</xdr:colOff>
          <xdr:row>37</xdr:row>
          <xdr:rowOff>476250</xdr:rowOff>
        </xdr:to>
        <xdr:sp macro="" textlink="">
          <xdr:nvSpPr>
            <xdr:cNvPr id="2063" name="Scroll Bar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na/Downloads/CDF%20Home%20Care%20Financial%20Model%20Version%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avid%20Hammer/My%20Documents/Paradise%20Home%20Care/Copy%20of%20Financial%20Proformas%20-%200611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V Charges 6-08"/>
      <sheetName val="Price Sheet"/>
      <sheetName val="Assumptions"/>
      <sheetName val=" Breakeven"/>
      <sheetName val="Current Situation"/>
      <sheetName val="Summary"/>
      <sheetName val="Income Statements"/>
      <sheetName val="Balance Sheet"/>
      <sheetName val="Cash Flow"/>
      <sheetName val="CAPX"/>
      <sheetName val="Staffing"/>
      <sheetName val="Labor Expenses"/>
      <sheetName val="Dues &amp; Subs"/>
      <sheetName val="Inc Sum"/>
      <sheetName val="SCF Sum"/>
      <sheetName val="Bal Sum"/>
      <sheetName val="Biz Plan Charts"/>
      <sheetName val="Rev_Ex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even Analysis "/>
      <sheetName val="Startup Expenses"/>
      <sheetName val="Four-Yr Profit Projection"/>
      <sheetName val="Cash Flow"/>
      <sheetName val="Cash Flow (2)"/>
      <sheetName val="Cash Flow (3)"/>
      <sheetName val="PnL projection"/>
      <sheetName val="PnL projection (2)"/>
      <sheetName val="PnL projection (3)"/>
      <sheetName val="Sales Forecast"/>
      <sheetName val="Sales Forecast (2)"/>
      <sheetName val="Sales Forecast (3)"/>
      <sheetName val="Breakeven Analysis"/>
      <sheetName val="Financial History &amp; Ratios"/>
      <sheetName val="Client Ramp-up Assumptions"/>
      <sheetName val="Amortization Table"/>
      <sheetName val="Amortization Table (2)"/>
      <sheetName val="Amortization Table (3)"/>
      <sheetName val="Opening Day Balance Sheet"/>
      <sheetName val="Personal Finance Statement"/>
      <sheetName val="Projected Balance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Mortgage Loan Payments</v>
          </cell>
        </row>
        <row r="5">
          <cell r="B5" t="str">
            <v>Enter Values</v>
          </cell>
          <cell r="F5" t="str">
            <v>Loan Summary</v>
          </cell>
        </row>
        <row r="6">
          <cell r="C6" t="str">
            <v>Loan Amount</v>
          </cell>
          <cell r="D6">
            <v>75000</v>
          </cell>
          <cell r="G6" t="str">
            <v>Scheduled Payment</v>
          </cell>
          <cell r="H6">
            <v>1168.9660802002227</v>
          </cell>
        </row>
        <row r="7">
          <cell r="C7" t="str">
            <v>Annual Interest Rate</v>
          </cell>
          <cell r="D7">
            <v>0.08</v>
          </cell>
          <cell r="G7" t="str">
            <v>Scheduled Number of Payments</v>
          </cell>
          <cell r="H7">
            <v>84</v>
          </cell>
        </row>
        <row r="8">
          <cell r="C8" t="str">
            <v>Loan Period in Years</v>
          </cell>
          <cell r="D8">
            <v>7</v>
          </cell>
          <cell r="G8" t="str">
            <v>Actual Number of Payments</v>
          </cell>
          <cell r="H8">
            <v>84</v>
          </cell>
        </row>
        <row r="9">
          <cell r="C9" t="str">
            <v>Number of Payments Per Year</v>
          </cell>
          <cell r="D9">
            <v>12</v>
          </cell>
          <cell r="G9" t="str">
            <v>Total Early Payments</v>
          </cell>
          <cell r="H9">
            <v>0</v>
          </cell>
        </row>
        <row r="10">
          <cell r="C10" t="str">
            <v>Start Date of Loan</v>
          </cell>
          <cell r="D10">
            <v>39600</v>
          </cell>
          <cell r="G10" t="str">
            <v>Total Interest</v>
          </cell>
          <cell r="H10">
            <v>23193.150736817908</v>
          </cell>
        </row>
        <row r="11">
          <cell r="C11" t="str">
            <v>Optional Extra Payments</v>
          </cell>
          <cell r="D11">
            <v>0</v>
          </cell>
        </row>
        <row r="13">
          <cell r="B13" t="str">
            <v>Lender Name:</v>
          </cell>
          <cell r="C13" t="str">
            <v>LEAF</v>
          </cell>
        </row>
        <row r="17">
          <cell r="A17" t="str">
            <v>PmtNo.</v>
          </cell>
          <cell r="B17" t="str">
            <v>Payment Date</v>
          </cell>
          <cell r="C17" t="str">
            <v>Beginning Balance</v>
          </cell>
          <cell r="D17" t="str">
            <v>Scheduled Payment</v>
          </cell>
          <cell r="E17" t="str">
            <v>Extra Payment</v>
          </cell>
          <cell r="F17" t="str">
            <v>Total Payment</v>
          </cell>
          <cell r="G17" t="str">
            <v>Principal</v>
          </cell>
          <cell r="H17" t="str">
            <v>Interest</v>
          </cell>
          <cell r="I17" t="str">
            <v>Ending Balance</v>
          </cell>
          <cell r="J17" t="str">
            <v>Cumulative Interest</v>
          </cell>
        </row>
        <row r="19">
          <cell r="A19">
            <v>1</v>
          </cell>
          <cell r="B19">
            <v>39630</v>
          </cell>
          <cell r="C19">
            <v>75000</v>
          </cell>
          <cell r="D19">
            <v>1168.9660802002227</v>
          </cell>
          <cell r="E19">
            <v>0</v>
          </cell>
          <cell r="F19">
            <v>1168.9660802002227</v>
          </cell>
          <cell r="G19">
            <v>668.96608020022268</v>
          </cell>
          <cell r="H19">
            <v>500.00000000000006</v>
          </cell>
          <cell r="I19">
            <v>74331.033919799782</v>
          </cell>
          <cell r="J19">
            <v>500.00000000000006</v>
          </cell>
        </row>
        <row r="20">
          <cell r="A20">
            <v>2</v>
          </cell>
          <cell r="B20">
            <v>39661</v>
          </cell>
          <cell r="C20">
            <v>74331.033919799782</v>
          </cell>
          <cell r="D20">
            <v>1168.9660802002227</v>
          </cell>
          <cell r="E20">
            <v>0</v>
          </cell>
          <cell r="F20">
            <v>1168.9660802002227</v>
          </cell>
          <cell r="G20">
            <v>673.42585406822423</v>
          </cell>
          <cell r="H20">
            <v>495.54022613199851</v>
          </cell>
          <cell r="I20">
            <v>73657.608065731562</v>
          </cell>
          <cell r="J20">
            <v>995.54022613199857</v>
          </cell>
        </row>
        <row r="21">
          <cell r="A21">
            <v>3</v>
          </cell>
          <cell r="B21">
            <v>39692</v>
          </cell>
          <cell r="C21">
            <v>73657.608065731562</v>
          </cell>
          <cell r="D21">
            <v>1168.9660802002227</v>
          </cell>
          <cell r="E21">
            <v>0</v>
          </cell>
          <cell r="F21">
            <v>1168.9660802002227</v>
          </cell>
          <cell r="G21">
            <v>677.91535976201226</v>
          </cell>
          <cell r="H21">
            <v>491.05072043821042</v>
          </cell>
          <cell r="I21">
            <v>72979.692705969544</v>
          </cell>
          <cell r="J21">
            <v>1486.5909465702089</v>
          </cell>
        </row>
        <row r="22">
          <cell r="A22">
            <v>4</v>
          </cell>
          <cell r="B22">
            <v>39722</v>
          </cell>
          <cell r="C22">
            <v>72979.692705969544</v>
          </cell>
          <cell r="D22">
            <v>1168.9660802002227</v>
          </cell>
          <cell r="E22">
            <v>0</v>
          </cell>
          <cell r="F22">
            <v>1168.9660802002227</v>
          </cell>
          <cell r="G22">
            <v>682.43479549375911</v>
          </cell>
          <cell r="H22">
            <v>486.53128470646362</v>
          </cell>
          <cell r="I22">
            <v>72297.25791047579</v>
          </cell>
          <cell r="J22">
            <v>1973.1222312766724</v>
          </cell>
        </row>
        <row r="23">
          <cell r="A23">
            <v>5</v>
          </cell>
          <cell r="B23">
            <v>39753</v>
          </cell>
          <cell r="C23">
            <v>72297.25791047579</v>
          </cell>
          <cell r="D23">
            <v>1168.9660802002227</v>
          </cell>
          <cell r="E23">
            <v>0</v>
          </cell>
          <cell r="F23">
            <v>1168.9660802002227</v>
          </cell>
          <cell r="G23">
            <v>686.98436079705084</v>
          </cell>
          <cell r="H23">
            <v>481.98171940317189</v>
          </cell>
          <cell r="I23">
            <v>71610.273549678735</v>
          </cell>
          <cell r="J23">
            <v>2455.1039506798443</v>
          </cell>
        </row>
        <row r="24">
          <cell r="A24">
            <v>6</v>
          </cell>
          <cell r="B24">
            <v>39783</v>
          </cell>
          <cell r="C24">
            <v>71610.273549678735</v>
          </cell>
          <cell r="D24">
            <v>1168.9660802002227</v>
          </cell>
          <cell r="E24">
            <v>0</v>
          </cell>
          <cell r="F24">
            <v>1168.9660802002227</v>
          </cell>
          <cell r="G24">
            <v>691.56425653569772</v>
          </cell>
          <cell r="H24">
            <v>477.4018236645249</v>
          </cell>
          <cell r="I24">
            <v>70918.709293143038</v>
          </cell>
          <cell r="J24">
            <v>2932.505774344369</v>
          </cell>
        </row>
        <row r="25">
          <cell r="A25">
            <v>7</v>
          </cell>
          <cell r="B25">
            <v>39814</v>
          </cell>
          <cell r="C25">
            <v>70918.709293143038</v>
          </cell>
          <cell r="D25">
            <v>1168.9660802002227</v>
          </cell>
          <cell r="E25">
            <v>0</v>
          </cell>
          <cell r="F25">
            <v>1168.9660802002227</v>
          </cell>
          <cell r="G25">
            <v>696.17468491260252</v>
          </cell>
          <cell r="H25">
            <v>472.79139528762022</v>
          </cell>
          <cell r="I25">
            <v>70222.534608230431</v>
          </cell>
          <cell r="J25">
            <v>3405.2971696319892</v>
          </cell>
        </row>
        <row r="26">
          <cell r="A26">
            <v>8</v>
          </cell>
          <cell r="B26">
            <v>39845</v>
          </cell>
          <cell r="C26">
            <v>70222.534608230431</v>
          </cell>
          <cell r="D26">
            <v>1168.9660802002227</v>
          </cell>
          <cell r="E26">
            <v>0</v>
          </cell>
          <cell r="F26">
            <v>1168.9660802002227</v>
          </cell>
          <cell r="G26">
            <v>700.81584947868646</v>
          </cell>
          <cell r="H26">
            <v>468.15023072153622</v>
          </cell>
          <cell r="I26">
            <v>69521.71875875174</v>
          </cell>
          <cell r="J26">
            <v>3873.4474003535252</v>
          </cell>
        </row>
        <row r="27">
          <cell r="A27">
            <v>9</v>
          </cell>
          <cell r="B27">
            <v>39873</v>
          </cell>
          <cell r="C27">
            <v>69521.71875875174</v>
          </cell>
          <cell r="D27">
            <v>1168.9660802002227</v>
          </cell>
          <cell r="E27">
            <v>0</v>
          </cell>
          <cell r="F27">
            <v>1168.9660802002227</v>
          </cell>
          <cell r="G27">
            <v>705.48795514187782</v>
          </cell>
          <cell r="H27">
            <v>463.47812505834492</v>
          </cell>
          <cell r="I27">
            <v>68816.230803609869</v>
          </cell>
          <cell r="J27">
            <v>4336.9255254118698</v>
          </cell>
        </row>
        <row r="28">
          <cell r="A28">
            <v>10</v>
          </cell>
          <cell r="B28">
            <v>39904</v>
          </cell>
          <cell r="C28">
            <v>68816.230803609869</v>
          </cell>
          <cell r="D28">
            <v>1168.9660802002227</v>
          </cell>
          <cell r="E28">
            <v>0</v>
          </cell>
          <cell r="F28">
            <v>1168.9660802002227</v>
          </cell>
          <cell r="G28">
            <v>710.19120817615681</v>
          </cell>
          <cell r="H28">
            <v>458.77487202406581</v>
          </cell>
          <cell r="I28">
            <v>68106.039595433715</v>
          </cell>
          <cell r="J28">
            <v>4795.7003974359359</v>
          </cell>
        </row>
        <row r="29">
          <cell r="A29">
            <v>11</v>
          </cell>
          <cell r="B29">
            <v>39934</v>
          </cell>
          <cell r="C29">
            <v>68106.039595433715</v>
          </cell>
          <cell r="D29">
            <v>1168.9660802002227</v>
          </cell>
          <cell r="E29">
            <v>0</v>
          </cell>
          <cell r="F29">
            <v>1168.9660802002227</v>
          </cell>
          <cell r="G29">
            <v>714.92581623066462</v>
          </cell>
          <cell r="H29">
            <v>454.04026396955811</v>
          </cell>
          <cell r="I29">
            <v>67391.113779203049</v>
          </cell>
          <cell r="J29">
            <v>5249.7406614054944</v>
          </cell>
        </row>
        <row r="30">
          <cell r="A30">
            <v>12</v>
          </cell>
          <cell r="B30">
            <v>39965</v>
          </cell>
          <cell r="C30">
            <v>67391.113779203049</v>
          </cell>
          <cell r="D30">
            <v>1168.9660802002227</v>
          </cell>
          <cell r="E30">
            <v>0</v>
          </cell>
          <cell r="F30">
            <v>1168.9660802002227</v>
          </cell>
          <cell r="G30">
            <v>719.6919883388689</v>
          </cell>
          <cell r="H30">
            <v>449.27409186135372</v>
          </cell>
          <cell r="I30">
            <v>66671.421790864188</v>
          </cell>
          <cell r="J30">
            <v>5699.0147532668479</v>
          </cell>
        </row>
        <row r="31">
          <cell r="A31">
            <v>13</v>
          </cell>
          <cell r="B31">
            <v>39995</v>
          </cell>
          <cell r="C31">
            <v>66671.421790864188</v>
          </cell>
          <cell r="D31">
            <v>1168.9660802002227</v>
          </cell>
          <cell r="E31">
            <v>0</v>
          </cell>
          <cell r="F31">
            <v>1168.9660802002227</v>
          </cell>
          <cell r="G31">
            <v>724.48993492779482</v>
          </cell>
          <cell r="H31">
            <v>444.47614527242791</v>
          </cell>
          <cell r="I31">
            <v>65946.931855936389</v>
          </cell>
          <cell r="J31">
            <v>6143.4908985392758</v>
          </cell>
        </row>
        <row r="32">
          <cell r="A32">
            <v>14</v>
          </cell>
          <cell r="B32">
            <v>40026</v>
          </cell>
          <cell r="C32">
            <v>65946.931855936389</v>
          </cell>
          <cell r="D32">
            <v>1168.9660802002227</v>
          </cell>
          <cell r="E32">
            <v>0</v>
          </cell>
          <cell r="F32">
            <v>1168.9660802002227</v>
          </cell>
          <cell r="G32">
            <v>729.31986782731337</v>
          </cell>
          <cell r="H32">
            <v>439.6462123729093</v>
          </cell>
          <cell r="I32">
            <v>65217.611988109078</v>
          </cell>
          <cell r="J32">
            <v>6583.1371109121847</v>
          </cell>
        </row>
        <row r="33">
          <cell r="A33">
            <v>15</v>
          </cell>
          <cell r="B33">
            <v>40057</v>
          </cell>
          <cell r="C33">
            <v>65217.611988109078</v>
          </cell>
          <cell r="D33">
            <v>1168.9660802002227</v>
          </cell>
          <cell r="E33">
            <v>0</v>
          </cell>
          <cell r="F33">
            <v>1168.9660802002227</v>
          </cell>
          <cell r="G33">
            <v>734.18200027949547</v>
          </cell>
          <cell r="H33">
            <v>434.78407992072721</v>
          </cell>
          <cell r="I33">
            <v>64483.429987829586</v>
          </cell>
          <cell r="J33">
            <v>7017.9211908329116</v>
          </cell>
        </row>
        <row r="34">
          <cell r="A34">
            <v>16</v>
          </cell>
          <cell r="B34">
            <v>40087</v>
          </cell>
          <cell r="C34">
            <v>64483.429987829586</v>
          </cell>
          <cell r="D34">
            <v>1168.9660802002227</v>
          </cell>
          <cell r="E34">
            <v>0</v>
          </cell>
          <cell r="F34">
            <v>1168.9660802002227</v>
          </cell>
          <cell r="G34">
            <v>739.07654694802545</v>
          </cell>
          <cell r="H34">
            <v>429.88953325219723</v>
          </cell>
          <cell r="I34">
            <v>63744.353440881561</v>
          </cell>
          <cell r="J34">
            <v>7447.8107240851086</v>
          </cell>
        </row>
        <row r="35">
          <cell r="A35">
            <v>17</v>
          </cell>
          <cell r="B35">
            <v>40118</v>
          </cell>
          <cell r="C35">
            <v>63744.353440881561</v>
          </cell>
          <cell r="D35">
            <v>1168.9660802002227</v>
          </cell>
          <cell r="E35">
            <v>0</v>
          </cell>
          <cell r="F35">
            <v>1168.9660802002227</v>
          </cell>
          <cell r="G35">
            <v>744.00372392767895</v>
          </cell>
          <cell r="H35">
            <v>424.96235627254373</v>
          </cell>
          <cell r="I35">
            <v>63000.349716953882</v>
          </cell>
          <cell r="J35">
            <v>7872.7730803576524</v>
          </cell>
        </row>
        <row r="36">
          <cell r="A36">
            <v>18</v>
          </cell>
          <cell r="B36">
            <v>40148</v>
          </cell>
          <cell r="C36">
            <v>63000.349716953882</v>
          </cell>
          <cell r="D36">
            <v>1168.9660802002227</v>
          </cell>
          <cell r="E36">
            <v>0</v>
          </cell>
          <cell r="F36">
            <v>1168.9660802002227</v>
          </cell>
          <cell r="G36">
            <v>748.96374875386346</v>
          </cell>
          <cell r="H36">
            <v>420.00233144635922</v>
          </cell>
          <cell r="I36">
            <v>62251.385968200018</v>
          </cell>
          <cell r="J36">
            <v>8292.775411804012</v>
          </cell>
        </row>
        <row r="37">
          <cell r="A37">
            <v>19</v>
          </cell>
          <cell r="B37">
            <v>40179</v>
          </cell>
          <cell r="C37">
            <v>62251.385968200018</v>
          </cell>
          <cell r="D37">
            <v>1168.9660802002227</v>
          </cell>
          <cell r="E37">
            <v>0</v>
          </cell>
          <cell r="F37">
            <v>1168.9660802002227</v>
          </cell>
          <cell r="G37">
            <v>753.95684041222262</v>
          </cell>
          <cell r="H37">
            <v>415.00923978800012</v>
          </cell>
          <cell r="I37">
            <v>61497.429127787793</v>
          </cell>
          <cell r="J37">
            <v>8707.7846515920119</v>
          </cell>
        </row>
        <row r="38">
          <cell r="A38">
            <v>20</v>
          </cell>
          <cell r="B38">
            <v>40210</v>
          </cell>
          <cell r="C38">
            <v>61497.429127787793</v>
          </cell>
          <cell r="D38">
            <v>1168.9660802002227</v>
          </cell>
          <cell r="E38">
            <v>0</v>
          </cell>
          <cell r="F38">
            <v>1168.9660802002227</v>
          </cell>
          <cell r="G38">
            <v>758.98321934830415</v>
          </cell>
          <cell r="H38">
            <v>409.98286085191859</v>
          </cell>
          <cell r="I38">
            <v>60738.445908439491</v>
          </cell>
          <cell r="J38">
            <v>9117.7675124439302</v>
          </cell>
        </row>
        <row r="39">
          <cell r="A39">
            <v>21</v>
          </cell>
          <cell r="B39">
            <v>40238</v>
          </cell>
          <cell r="C39">
            <v>60738.445908439491</v>
          </cell>
          <cell r="D39">
            <v>1168.9660802002227</v>
          </cell>
          <cell r="E39">
            <v>0</v>
          </cell>
          <cell r="F39">
            <v>1168.9660802002227</v>
          </cell>
          <cell r="G39">
            <v>764.04310747729278</v>
          </cell>
          <cell r="H39">
            <v>404.92297272292996</v>
          </cell>
          <cell r="I39">
            <v>59974.402800962198</v>
          </cell>
          <cell r="J39">
            <v>9522.6904851668605</v>
          </cell>
        </row>
        <row r="40">
          <cell r="A40">
            <v>22</v>
          </cell>
          <cell r="B40">
            <v>40269</v>
          </cell>
          <cell r="C40">
            <v>59974.402800962198</v>
          </cell>
          <cell r="D40">
            <v>1168.9660802002227</v>
          </cell>
          <cell r="E40">
            <v>0</v>
          </cell>
          <cell r="F40">
            <v>1168.9660802002227</v>
          </cell>
          <cell r="G40">
            <v>769.13672819380804</v>
          </cell>
          <cell r="H40">
            <v>399.82935200641464</v>
          </cell>
          <cell r="I40">
            <v>59205.266072768391</v>
          </cell>
          <cell r="J40">
            <v>9922.5198371732749</v>
          </cell>
        </row>
        <row r="41">
          <cell r="A41">
            <v>23</v>
          </cell>
          <cell r="B41">
            <v>40299</v>
          </cell>
          <cell r="C41">
            <v>59205.266072768391</v>
          </cell>
          <cell r="D41">
            <v>1168.9660802002227</v>
          </cell>
          <cell r="E41">
            <v>0</v>
          </cell>
          <cell r="F41">
            <v>1168.9660802002227</v>
          </cell>
          <cell r="G41">
            <v>774.2643063817668</v>
          </cell>
          <cell r="H41">
            <v>394.70177381845593</v>
          </cell>
          <cell r="I41">
            <v>58431.001766386624</v>
          </cell>
          <cell r="J41">
            <v>10317.221610991732</v>
          </cell>
        </row>
        <row r="42">
          <cell r="A42">
            <v>24</v>
          </cell>
          <cell r="B42">
            <v>40330</v>
          </cell>
          <cell r="C42">
            <v>58431.001766386624</v>
          </cell>
          <cell r="D42">
            <v>1168.9660802002227</v>
          </cell>
          <cell r="E42">
            <v>0</v>
          </cell>
          <cell r="F42">
            <v>1168.9660802002227</v>
          </cell>
          <cell r="G42">
            <v>779.42606842431178</v>
          </cell>
          <cell r="H42">
            <v>389.54001177591084</v>
          </cell>
          <cell r="I42">
            <v>57651.575697962311</v>
          </cell>
          <cell r="J42">
            <v>10706.761622767643</v>
          </cell>
        </row>
        <row r="43">
          <cell r="A43">
            <v>25</v>
          </cell>
          <cell r="B43">
            <v>40360</v>
          </cell>
          <cell r="C43">
            <v>57651.575697962311</v>
          </cell>
          <cell r="D43">
            <v>1168.9660802002227</v>
          </cell>
          <cell r="E43">
            <v>0</v>
          </cell>
          <cell r="F43">
            <v>1168.9660802002227</v>
          </cell>
          <cell r="G43">
            <v>784.62224221380734</v>
          </cell>
          <cell r="H43">
            <v>384.34383798641539</v>
          </cell>
          <cell r="I43">
            <v>56866.953455748502</v>
          </cell>
          <cell r="J43">
            <v>11091.105460754057</v>
          </cell>
        </row>
        <row r="44">
          <cell r="A44">
            <v>26</v>
          </cell>
          <cell r="B44">
            <v>40391</v>
          </cell>
          <cell r="C44">
            <v>56866.953455748502</v>
          </cell>
          <cell r="D44">
            <v>1168.9660802002227</v>
          </cell>
          <cell r="E44">
            <v>0</v>
          </cell>
          <cell r="F44">
            <v>1168.9660802002227</v>
          </cell>
          <cell r="G44">
            <v>789.85305716189941</v>
          </cell>
          <cell r="H44">
            <v>379.11302303832332</v>
          </cell>
          <cell r="I44">
            <v>56077.100398586605</v>
          </cell>
          <cell r="J44">
            <v>11470.218483792381</v>
          </cell>
        </row>
        <row r="45">
          <cell r="A45">
            <v>27</v>
          </cell>
          <cell r="B45">
            <v>40422</v>
          </cell>
          <cell r="C45">
            <v>56077.100398586605</v>
          </cell>
          <cell r="D45">
            <v>1168.9660802002227</v>
          </cell>
          <cell r="E45">
            <v>0</v>
          </cell>
          <cell r="F45">
            <v>1168.9660802002227</v>
          </cell>
          <cell r="G45">
            <v>795.11874420964523</v>
          </cell>
          <cell r="H45">
            <v>373.84733599057739</v>
          </cell>
          <cell r="I45">
            <v>55281.981654376956</v>
          </cell>
          <cell r="J45">
            <v>11844.065819782958</v>
          </cell>
        </row>
        <row r="46">
          <cell r="A46">
            <v>28</v>
          </cell>
          <cell r="B46">
            <v>40452</v>
          </cell>
          <cell r="C46">
            <v>55281.981654376956</v>
          </cell>
          <cell r="D46">
            <v>1168.9660802002227</v>
          </cell>
          <cell r="E46">
            <v>0</v>
          </cell>
          <cell r="F46">
            <v>1168.9660802002227</v>
          </cell>
          <cell r="G46">
            <v>800.41953583770965</v>
          </cell>
          <cell r="H46">
            <v>368.54654436251303</v>
          </cell>
          <cell r="I46">
            <v>54481.562118539245</v>
          </cell>
          <cell r="J46">
            <v>12212.612364145471</v>
          </cell>
        </row>
        <row r="47">
          <cell r="A47">
            <v>29</v>
          </cell>
          <cell r="B47">
            <v>40483</v>
          </cell>
          <cell r="C47">
            <v>54481.562118539245</v>
          </cell>
          <cell r="D47">
            <v>1168.9660802002227</v>
          </cell>
          <cell r="E47">
            <v>0</v>
          </cell>
          <cell r="F47">
            <v>1168.9660802002227</v>
          </cell>
          <cell r="G47">
            <v>805.75566607662768</v>
          </cell>
          <cell r="H47">
            <v>363.210414123595</v>
          </cell>
          <cell r="I47">
            <v>53675.806452462617</v>
          </cell>
          <cell r="J47">
            <v>12575.822778269066</v>
          </cell>
        </row>
        <row r="48">
          <cell r="A48">
            <v>30</v>
          </cell>
          <cell r="B48">
            <v>40513</v>
          </cell>
          <cell r="C48">
            <v>53675.806452462617</v>
          </cell>
          <cell r="D48">
            <v>1168.9660802002227</v>
          </cell>
          <cell r="E48">
            <v>0</v>
          </cell>
          <cell r="F48">
            <v>1168.9660802002227</v>
          </cell>
          <cell r="G48">
            <v>811.12737051713862</v>
          </cell>
          <cell r="H48">
            <v>357.83870968308412</v>
          </cell>
          <cell r="I48">
            <v>52864.679081945476</v>
          </cell>
          <cell r="J48">
            <v>12933.661487952151</v>
          </cell>
        </row>
        <row r="49">
          <cell r="A49">
            <v>31</v>
          </cell>
          <cell r="B49">
            <v>40544</v>
          </cell>
          <cell r="C49">
            <v>52864.679081945476</v>
          </cell>
          <cell r="D49">
            <v>1168.9660802002227</v>
          </cell>
          <cell r="E49">
            <v>0</v>
          </cell>
          <cell r="F49">
            <v>1168.9660802002227</v>
          </cell>
          <cell r="G49">
            <v>816.53488632058611</v>
          </cell>
          <cell r="H49">
            <v>352.43119387963651</v>
          </cell>
          <cell r="I49">
            <v>52048.144195624889</v>
          </cell>
          <cell r="J49">
            <v>13286.092681831788</v>
          </cell>
        </row>
        <row r="50">
          <cell r="A50">
            <v>32</v>
          </cell>
          <cell r="B50">
            <v>40575</v>
          </cell>
          <cell r="C50">
            <v>52048.144195624889</v>
          </cell>
          <cell r="D50">
            <v>1168.9660802002227</v>
          </cell>
          <cell r="E50">
            <v>0</v>
          </cell>
          <cell r="F50">
            <v>1168.9660802002227</v>
          </cell>
          <cell r="G50">
            <v>821.97845222939009</v>
          </cell>
          <cell r="H50">
            <v>346.98762797083259</v>
          </cell>
          <cell r="I50">
            <v>51226.165743395497</v>
          </cell>
          <cell r="J50">
            <v>13633.080309802621</v>
          </cell>
        </row>
        <row r="51">
          <cell r="A51">
            <v>33</v>
          </cell>
          <cell r="B51">
            <v>40603</v>
          </cell>
          <cell r="C51">
            <v>51226.165743395497</v>
          </cell>
          <cell r="D51">
            <v>1168.9660802002227</v>
          </cell>
          <cell r="E51">
            <v>0</v>
          </cell>
          <cell r="F51">
            <v>1168.9660802002227</v>
          </cell>
          <cell r="G51">
            <v>827.45830857758597</v>
          </cell>
          <cell r="H51">
            <v>341.50777162263665</v>
          </cell>
          <cell r="I51">
            <v>50398.707434817909</v>
          </cell>
          <cell r="J51">
            <v>13974.588081425258</v>
          </cell>
        </row>
        <row r="52">
          <cell r="A52">
            <v>34</v>
          </cell>
          <cell r="B52">
            <v>40634</v>
          </cell>
          <cell r="C52">
            <v>50398.707434817909</v>
          </cell>
          <cell r="D52">
            <v>1168.9660802002227</v>
          </cell>
          <cell r="E52">
            <v>0</v>
          </cell>
          <cell r="F52">
            <v>1168.9660802002227</v>
          </cell>
          <cell r="G52">
            <v>832.97469730143666</v>
          </cell>
          <cell r="H52">
            <v>335.99138289878607</v>
          </cell>
          <cell r="I52">
            <v>49565.732737516475</v>
          </cell>
          <cell r="J52">
            <v>14310.579464324044</v>
          </cell>
        </row>
        <row r="53">
          <cell r="A53">
            <v>35</v>
          </cell>
          <cell r="B53">
            <v>40664</v>
          </cell>
          <cell r="C53">
            <v>49565.732737516475</v>
          </cell>
          <cell r="D53">
            <v>1168.9660802002227</v>
          </cell>
          <cell r="E53">
            <v>0</v>
          </cell>
          <cell r="F53">
            <v>1168.9660802002227</v>
          </cell>
          <cell r="G53">
            <v>838.52786195011277</v>
          </cell>
          <cell r="H53">
            <v>330.43821825010986</v>
          </cell>
          <cell r="I53">
            <v>48727.204875566364</v>
          </cell>
          <cell r="J53">
            <v>14641.017682574155</v>
          </cell>
        </row>
        <row r="54">
          <cell r="A54">
            <v>36</v>
          </cell>
          <cell r="B54">
            <v>40695</v>
          </cell>
          <cell r="C54">
            <v>48727.204875566364</v>
          </cell>
          <cell r="D54">
            <v>1168.9660802002227</v>
          </cell>
          <cell r="E54">
            <v>0</v>
          </cell>
          <cell r="F54">
            <v>1168.9660802002227</v>
          </cell>
          <cell r="G54">
            <v>844.11804769644687</v>
          </cell>
          <cell r="H54">
            <v>324.84803250377576</v>
          </cell>
          <cell r="I54">
            <v>47883.08682786992</v>
          </cell>
          <cell r="J54">
            <v>14965.865715077931</v>
          </cell>
        </row>
        <row r="55">
          <cell r="A55">
            <v>37</v>
          </cell>
          <cell r="B55">
            <v>40725</v>
          </cell>
          <cell r="C55">
            <v>47883.08682786992</v>
          </cell>
          <cell r="D55">
            <v>1168.9660802002227</v>
          </cell>
          <cell r="E55">
            <v>0</v>
          </cell>
          <cell r="F55">
            <v>1168.9660802002227</v>
          </cell>
          <cell r="G55">
            <v>849.74550134775654</v>
          </cell>
          <cell r="H55">
            <v>319.22057885246613</v>
          </cell>
          <cell r="I55">
            <v>47033.341326522161</v>
          </cell>
          <cell r="J55">
            <v>15285.086293930397</v>
          </cell>
        </row>
        <row r="56">
          <cell r="A56">
            <v>38</v>
          </cell>
          <cell r="B56">
            <v>40756</v>
          </cell>
          <cell r="C56">
            <v>47033.341326522161</v>
          </cell>
          <cell r="D56">
            <v>1168.9660802002227</v>
          </cell>
          <cell r="E56">
            <v>0</v>
          </cell>
          <cell r="F56">
            <v>1168.9660802002227</v>
          </cell>
          <cell r="G56">
            <v>855.4104713567416</v>
          </cell>
          <cell r="H56">
            <v>313.55560884348108</v>
          </cell>
          <cell r="I56">
            <v>46177.930855165418</v>
          </cell>
          <cell r="J56">
            <v>15598.641902773878</v>
          </cell>
        </row>
        <row r="57">
          <cell r="A57">
            <v>39</v>
          </cell>
          <cell r="B57">
            <v>40787</v>
          </cell>
          <cell r="C57">
            <v>46177.930855165418</v>
          </cell>
          <cell r="D57">
            <v>1168.9660802002227</v>
          </cell>
          <cell r="E57">
            <v>0</v>
          </cell>
          <cell r="F57">
            <v>1168.9660802002227</v>
          </cell>
          <cell r="G57">
            <v>861.11320783245321</v>
          </cell>
          <cell r="H57">
            <v>307.85287236776946</v>
          </cell>
          <cell r="I57">
            <v>45316.817647332966</v>
          </cell>
          <cell r="J57">
            <v>15906.494775141648</v>
          </cell>
        </row>
        <row r="58">
          <cell r="A58">
            <v>40</v>
          </cell>
          <cell r="B58">
            <v>40817</v>
          </cell>
          <cell r="C58">
            <v>45316.817647332966</v>
          </cell>
          <cell r="D58">
            <v>1168.9660802002227</v>
          </cell>
          <cell r="E58">
            <v>0</v>
          </cell>
          <cell r="F58">
            <v>1168.9660802002227</v>
          </cell>
          <cell r="G58">
            <v>866.85396255133628</v>
          </cell>
          <cell r="H58">
            <v>302.11211764888645</v>
          </cell>
          <cell r="I58">
            <v>44449.963684781629</v>
          </cell>
          <cell r="J58">
            <v>16208.606892790534</v>
          </cell>
        </row>
        <row r="59">
          <cell r="A59">
            <v>41</v>
          </cell>
          <cell r="B59">
            <v>40848</v>
          </cell>
          <cell r="C59">
            <v>44449.963684781629</v>
          </cell>
          <cell r="D59">
            <v>1168.9660802002227</v>
          </cell>
          <cell r="E59">
            <v>0</v>
          </cell>
          <cell r="F59">
            <v>1168.9660802002227</v>
          </cell>
          <cell r="G59">
            <v>872.63298896834522</v>
          </cell>
          <cell r="H59">
            <v>296.33309123187752</v>
          </cell>
          <cell r="I59">
            <v>43577.330695813282</v>
          </cell>
          <cell r="J59">
            <v>16504.93998402241</v>
          </cell>
        </row>
        <row r="60">
          <cell r="A60">
            <v>42</v>
          </cell>
          <cell r="B60">
            <v>40878</v>
          </cell>
          <cell r="C60">
            <v>43577.330695813282</v>
          </cell>
          <cell r="D60">
            <v>1168.9660802002227</v>
          </cell>
          <cell r="E60">
            <v>0</v>
          </cell>
          <cell r="F60">
            <v>1168.9660802002227</v>
          </cell>
          <cell r="G60">
            <v>878.45054222813405</v>
          </cell>
          <cell r="H60">
            <v>290.51553797208857</v>
          </cell>
          <cell r="I60">
            <v>42698.880153585145</v>
          </cell>
          <cell r="J60">
            <v>16795.4555219945</v>
          </cell>
        </row>
        <row r="61">
          <cell r="A61">
            <v>43</v>
          </cell>
          <cell r="B61">
            <v>40909</v>
          </cell>
          <cell r="C61">
            <v>42698.880153585145</v>
          </cell>
          <cell r="D61">
            <v>1168.9660802002227</v>
          </cell>
          <cell r="E61">
            <v>0</v>
          </cell>
          <cell r="F61">
            <v>1168.9660802002227</v>
          </cell>
          <cell r="G61">
            <v>884.30687917632167</v>
          </cell>
          <cell r="H61">
            <v>284.65920102390095</v>
          </cell>
          <cell r="I61">
            <v>41814.573274408824</v>
          </cell>
          <cell r="J61">
            <v>17080.1147230184</v>
          </cell>
        </row>
        <row r="62">
          <cell r="A62">
            <v>44</v>
          </cell>
          <cell r="B62">
            <v>40940</v>
          </cell>
          <cell r="C62">
            <v>41814.573274408824</v>
          </cell>
          <cell r="D62">
            <v>1168.9660802002227</v>
          </cell>
          <cell r="E62">
            <v>0</v>
          </cell>
          <cell r="F62">
            <v>1168.9660802002227</v>
          </cell>
          <cell r="G62">
            <v>890.20225837083058</v>
          </cell>
          <cell r="H62">
            <v>278.76382182939216</v>
          </cell>
          <cell r="I62">
            <v>40924.371016037992</v>
          </cell>
          <cell r="J62">
            <v>17358.87854484779</v>
          </cell>
        </row>
        <row r="63">
          <cell r="A63">
            <v>45</v>
          </cell>
          <cell r="B63">
            <v>40969</v>
          </cell>
          <cell r="C63">
            <v>40924.371016037992</v>
          </cell>
          <cell r="D63">
            <v>1168.9660802002227</v>
          </cell>
          <cell r="E63">
            <v>0</v>
          </cell>
          <cell r="F63">
            <v>1168.9660802002227</v>
          </cell>
          <cell r="G63">
            <v>896.13694009330266</v>
          </cell>
          <cell r="H63">
            <v>272.82914010691997</v>
          </cell>
          <cell r="I63">
            <v>40028.234075944689</v>
          </cell>
          <cell r="J63">
            <v>17631.707684954708</v>
          </cell>
        </row>
        <row r="64">
          <cell r="A64">
            <v>46</v>
          </cell>
          <cell r="B64">
            <v>41000</v>
          </cell>
          <cell r="C64">
            <v>40028.234075944689</v>
          </cell>
          <cell r="D64">
            <v>1168.9660802002227</v>
          </cell>
          <cell r="E64">
            <v>0</v>
          </cell>
          <cell r="F64">
            <v>1168.9660802002227</v>
          </cell>
          <cell r="G64">
            <v>902.11118636059132</v>
          </cell>
          <cell r="H64">
            <v>266.8548938396313</v>
          </cell>
          <cell r="I64">
            <v>39126.122889584098</v>
          </cell>
          <cell r="J64">
            <v>17898.562578794339</v>
          </cell>
        </row>
        <row r="65">
          <cell r="A65">
            <v>47</v>
          </cell>
          <cell r="B65">
            <v>41030</v>
          </cell>
          <cell r="C65">
            <v>39126.122889584098</v>
          </cell>
          <cell r="D65">
            <v>1168.9660802002227</v>
          </cell>
          <cell r="E65">
            <v>0</v>
          </cell>
          <cell r="F65">
            <v>1168.9660802002227</v>
          </cell>
          <cell r="G65">
            <v>908.12526093632869</v>
          </cell>
          <cell r="H65">
            <v>260.84081926389399</v>
          </cell>
          <cell r="I65">
            <v>38217.997628647769</v>
          </cell>
          <cell r="J65">
            <v>18159.403398058232</v>
          </cell>
        </row>
        <row r="66">
          <cell r="A66">
            <v>48</v>
          </cell>
          <cell r="B66">
            <v>41061</v>
          </cell>
          <cell r="C66">
            <v>38217.997628647769</v>
          </cell>
          <cell r="D66">
            <v>1168.9660802002227</v>
          </cell>
          <cell r="E66">
            <v>0</v>
          </cell>
          <cell r="F66">
            <v>1168.9660802002227</v>
          </cell>
          <cell r="G66">
            <v>914.17942934257087</v>
          </cell>
          <cell r="H66">
            <v>254.78665085765181</v>
          </cell>
          <cell r="I66">
            <v>37303.818199305199</v>
          </cell>
          <cell r="J66">
            <v>18414.190048915883</v>
          </cell>
        </row>
        <row r="67">
          <cell r="A67">
            <v>49</v>
          </cell>
          <cell r="B67">
            <v>41091</v>
          </cell>
          <cell r="C67">
            <v>37303.818199305199</v>
          </cell>
          <cell r="D67">
            <v>1168.9660802002227</v>
          </cell>
          <cell r="E67">
            <v>0</v>
          </cell>
          <cell r="F67">
            <v>1168.9660802002227</v>
          </cell>
          <cell r="G67">
            <v>920.27395887152136</v>
          </cell>
          <cell r="H67">
            <v>248.69212132870132</v>
          </cell>
          <cell r="I67">
            <v>36383.544240433679</v>
          </cell>
          <cell r="J67">
            <v>18662.882170244586</v>
          </cell>
        </row>
        <row r="68">
          <cell r="A68">
            <v>50</v>
          </cell>
          <cell r="B68">
            <v>41122</v>
          </cell>
          <cell r="C68">
            <v>36383.544240433679</v>
          </cell>
          <cell r="D68">
            <v>1168.9660802002227</v>
          </cell>
          <cell r="E68">
            <v>0</v>
          </cell>
          <cell r="F68">
            <v>1168.9660802002227</v>
          </cell>
          <cell r="G68">
            <v>926.40911859733149</v>
          </cell>
          <cell r="H68">
            <v>242.55696160289119</v>
          </cell>
          <cell r="I68">
            <v>35457.135121836349</v>
          </cell>
          <cell r="J68">
            <v>18905.439131847477</v>
          </cell>
        </row>
        <row r="69">
          <cell r="A69">
            <v>51</v>
          </cell>
          <cell r="B69">
            <v>41153</v>
          </cell>
          <cell r="C69">
            <v>35457.135121836349</v>
          </cell>
          <cell r="D69">
            <v>1168.9660802002227</v>
          </cell>
          <cell r="E69">
            <v>0</v>
          </cell>
          <cell r="F69">
            <v>1168.9660802002227</v>
          </cell>
          <cell r="G69">
            <v>932.58517938798036</v>
          </cell>
          <cell r="H69">
            <v>236.38090081224232</v>
          </cell>
          <cell r="I69">
            <v>34524.549942448371</v>
          </cell>
          <cell r="J69">
            <v>19141.820032659718</v>
          </cell>
        </row>
        <row r="70">
          <cell r="A70">
            <v>52</v>
          </cell>
          <cell r="B70">
            <v>41183</v>
          </cell>
          <cell r="C70">
            <v>34524.549942448371</v>
          </cell>
          <cell r="D70">
            <v>1168.9660802002227</v>
          </cell>
          <cell r="E70">
            <v>0</v>
          </cell>
          <cell r="F70">
            <v>1168.9660802002227</v>
          </cell>
          <cell r="G70">
            <v>938.80241391723348</v>
          </cell>
          <cell r="H70">
            <v>230.16366628298917</v>
          </cell>
          <cell r="I70">
            <v>33585.747528531138</v>
          </cell>
          <cell r="J70">
            <v>19371.983698942706</v>
          </cell>
        </row>
        <row r="71">
          <cell r="A71">
            <v>53</v>
          </cell>
          <cell r="B71">
            <v>41214</v>
          </cell>
          <cell r="C71">
            <v>33585.747528531138</v>
          </cell>
          <cell r="D71">
            <v>1168.9660802002227</v>
          </cell>
          <cell r="E71">
            <v>0</v>
          </cell>
          <cell r="F71">
            <v>1168.9660802002227</v>
          </cell>
          <cell r="G71">
            <v>945.0610966766817</v>
          </cell>
          <cell r="H71">
            <v>223.90498352354095</v>
          </cell>
          <cell r="I71">
            <v>32640.686431854454</v>
          </cell>
          <cell r="J71">
            <v>19595.888682466248</v>
          </cell>
        </row>
        <row r="72">
          <cell r="A72">
            <v>54</v>
          </cell>
          <cell r="B72">
            <v>41244</v>
          </cell>
          <cell r="C72">
            <v>32640.686431854454</v>
          </cell>
          <cell r="D72">
            <v>1168.9660802002227</v>
          </cell>
          <cell r="E72">
            <v>0</v>
          </cell>
          <cell r="F72">
            <v>1168.9660802002227</v>
          </cell>
          <cell r="G72">
            <v>951.36150398785969</v>
          </cell>
          <cell r="H72">
            <v>217.60457621236301</v>
          </cell>
          <cell r="I72">
            <v>31689.324927866593</v>
          </cell>
          <cell r="J72">
            <v>19813.493258678609</v>
          </cell>
        </row>
        <row r="73">
          <cell r="A73">
            <v>55</v>
          </cell>
          <cell r="B73">
            <v>41275</v>
          </cell>
          <cell r="C73">
            <v>31689.324927866593</v>
          </cell>
          <cell r="D73">
            <v>1168.9660802002227</v>
          </cell>
          <cell r="E73">
            <v>0</v>
          </cell>
          <cell r="F73">
            <v>1168.9660802002227</v>
          </cell>
          <cell r="G73">
            <v>957.70391401444533</v>
          </cell>
          <cell r="H73">
            <v>211.26216618577732</v>
          </cell>
          <cell r="I73">
            <v>30731.621013852149</v>
          </cell>
          <cell r="J73">
            <v>20024.755424864386</v>
          </cell>
        </row>
        <row r="74">
          <cell r="A74">
            <v>56</v>
          </cell>
          <cell r="B74">
            <v>41306</v>
          </cell>
          <cell r="C74">
            <v>30731.621013852149</v>
          </cell>
          <cell r="D74">
            <v>1168.9660802002227</v>
          </cell>
          <cell r="E74">
            <v>0</v>
          </cell>
          <cell r="F74">
            <v>1168.9660802002227</v>
          </cell>
          <cell r="G74">
            <v>964.08860677454163</v>
          </cell>
          <cell r="H74">
            <v>204.87747342568102</v>
          </cell>
          <cell r="I74">
            <v>29767.532407077608</v>
          </cell>
          <cell r="J74">
            <v>20229.632898290067</v>
          </cell>
        </row>
        <row r="75">
          <cell r="A75">
            <v>57</v>
          </cell>
          <cell r="B75">
            <v>41334</v>
          </cell>
          <cell r="C75">
            <v>29767.532407077608</v>
          </cell>
          <cell r="D75">
            <v>1168.9660802002227</v>
          </cell>
          <cell r="E75">
            <v>0</v>
          </cell>
          <cell r="F75">
            <v>1168.9660802002227</v>
          </cell>
          <cell r="G75">
            <v>970.51586415303859</v>
          </cell>
          <cell r="H75">
            <v>198.45021604718406</v>
          </cell>
          <cell r="I75">
            <v>28797.016542924568</v>
          </cell>
          <cell r="J75">
            <v>20428.083114337252</v>
          </cell>
        </row>
        <row r="76">
          <cell r="A76">
            <v>58</v>
          </cell>
          <cell r="B76">
            <v>41365</v>
          </cell>
          <cell r="C76">
            <v>28797.016542924568</v>
          </cell>
          <cell r="D76">
            <v>1168.9660802002227</v>
          </cell>
          <cell r="E76">
            <v>0</v>
          </cell>
          <cell r="F76">
            <v>1168.9660802002227</v>
          </cell>
          <cell r="G76">
            <v>976.98596991405884</v>
          </cell>
          <cell r="H76">
            <v>191.98011028616381</v>
          </cell>
          <cell r="I76">
            <v>27820.03057301051</v>
          </cell>
          <cell r="J76">
            <v>20620.063224623416</v>
          </cell>
        </row>
        <row r="77">
          <cell r="A77">
            <v>59</v>
          </cell>
          <cell r="B77">
            <v>41395</v>
          </cell>
          <cell r="C77">
            <v>27820.03057301051</v>
          </cell>
          <cell r="D77">
            <v>1168.9660802002227</v>
          </cell>
          <cell r="E77">
            <v>0</v>
          </cell>
          <cell r="F77">
            <v>1168.9660802002227</v>
          </cell>
          <cell r="G77">
            <v>983.49920971348593</v>
          </cell>
          <cell r="H77">
            <v>185.46687048673675</v>
          </cell>
          <cell r="I77">
            <v>26836.531363297025</v>
          </cell>
          <cell r="J77">
            <v>20805.530095110153</v>
          </cell>
        </row>
        <row r="78">
          <cell r="A78">
            <v>60</v>
          </cell>
          <cell r="B78">
            <v>41426</v>
          </cell>
          <cell r="C78">
            <v>26836.531363297025</v>
          </cell>
          <cell r="D78">
            <v>1168.9660802002227</v>
          </cell>
          <cell r="E78">
            <v>0</v>
          </cell>
          <cell r="F78">
            <v>1168.9660802002227</v>
          </cell>
          <cell r="G78">
            <v>990.05587111157581</v>
          </cell>
          <cell r="H78">
            <v>178.91020908864684</v>
          </cell>
          <cell r="I78">
            <v>25846.475492185447</v>
          </cell>
          <cell r="J78">
            <v>20984.440304198801</v>
          </cell>
        </row>
        <row r="79">
          <cell r="A79">
            <v>61</v>
          </cell>
          <cell r="B79">
            <v>41456</v>
          </cell>
          <cell r="C79">
            <v>25846.475492185447</v>
          </cell>
          <cell r="D79">
            <v>1168.9660802002227</v>
          </cell>
          <cell r="E79">
            <v>0</v>
          </cell>
          <cell r="F79">
            <v>1168.9660802002227</v>
          </cell>
          <cell r="G79">
            <v>996.65624358565299</v>
          </cell>
          <cell r="H79">
            <v>172.30983661456966</v>
          </cell>
          <cell r="I79">
            <v>24849.819248599793</v>
          </cell>
          <cell r="J79">
            <v>21156.750140813372</v>
          </cell>
        </row>
        <row r="80">
          <cell r="A80">
            <v>62</v>
          </cell>
          <cell r="B80">
            <v>41487</v>
          </cell>
          <cell r="C80">
            <v>24849.819248599793</v>
          </cell>
          <cell r="D80">
            <v>1168.9660802002227</v>
          </cell>
          <cell r="E80">
            <v>0</v>
          </cell>
          <cell r="F80">
            <v>1168.9660802002227</v>
          </cell>
          <cell r="G80">
            <v>1003.3006185428907</v>
          </cell>
          <cell r="H80">
            <v>165.66546165733197</v>
          </cell>
          <cell r="I80">
            <v>23846.518630056904</v>
          </cell>
          <cell r="J80">
            <v>21322.415602470704</v>
          </cell>
        </row>
        <row r="81">
          <cell r="A81">
            <v>63</v>
          </cell>
          <cell r="B81">
            <v>41518</v>
          </cell>
          <cell r="C81">
            <v>23846.518630056904</v>
          </cell>
          <cell r="D81">
            <v>1168.9660802002227</v>
          </cell>
          <cell r="E81">
            <v>0</v>
          </cell>
          <cell r="F81">
            <v>1168.9660802002227</v>
          </cell>
          <cell r="G81">
            <v>1009.9892893331767</v>
          </cell>
          <cell r="H81">
            <v>158.97679086704602</v>
          </cell>
          <cell r="I81">
            <v>22836.529340723726</v>
          </cell>
          <cell r="J81">
            <v>21481.392393337752</v>
          </cell>
        </row>
        <row r="82">
          <cell r="A82">
            <v>64</v>
          </cell>
          <cell r="B82">
            <v>41548</v>
          </cell>
          <cell r="C82">
            <v>22836.529340723726</v>
          </cell>
          <cell r="D82">
            <v>1168.9660802002227</v>
          </cell>
          <cell r="E82">
            <v>0</v>
          </cell>
          <cell r="F82">
            <v>1168.9660802002227</v>
          </cell>
          <cell r="G82">
            <v>1016.7225512620645</v>
          </cell>
          <cell r="H82">
            <v>152.24352893815816</v>
          </cell>
          <cell r="I82">
            <v>21819.806789461662</v>
          </cell>
          <cell r="J82">
            <v>21633.635922275909</v>
          </cell>
        </row>
        <row r="83">
          <cell r="A83">
            <v>65</v>
          </cell>
          <cell r="B83">
            <v>41579</v>
          </cell>
          <cell r="C83">
            <v>21819.806789461662</v>
          </cell>
          <cell r="D83">
            <v>1168.9660802002227</v>
          </cell>
          <cell r="E83">
            <v>0</v>
          </cell>
          <cell r="F83">
            <v>1168.9660802002227</v>
          </cell>
          <cell r="G83">
            <v>1023.5007016038116</v>
          </cell>
          <cell r="H83">
            <v>145.46537859641109</v>
          </cell>
          <cell r="I83">
            <v>20796.306087857851</v>
          </cell>
          <cell r="J83">
            <v>21779.10130087232</v>
          </cell>
        </row>
        <row r="84">
          <cell r="A84">
            <v>66</v>
          </cell>
          <cell r="B84">
            <v>41609</v>
          </cell>
          <cell r="C84">
            <v>20796.306087857851</v>
          </cell>
          <cell r="D84">
            <v>1168.9660802002227</v>
          </cell>
          <cell r="E84">
            <v>0</v>
          </cell>
          <cell r="F84">
            <v>1168.9660802002227</v>
          </cell>
          <cell r="G84">
            <v>1030.3240396145036</v>
          </cell>
          <cell r="H84">
            <v>138.642040585719</v>
          </cell>
          <cell r="I84">
            <v>19765.982048243346</v>
          </cell>
          <cell r="J84">
            <v>21917.743341458041</v>
          </cell>
        </row>
        <row r="85">
          <cell r="A85">
            <v>67</v>
          </cell>
          <cell r="B85">
            <v>41640</v>
          </cell>
          <cell r="C85">
            <v>19765.982048243346</v>
          </cell>
          <cell r="D85">
            <v>1168.9660802002227</v>
          </cell>
          <cell r="E85">
            <v>0</v>
          </cell>
          <cell r="F85">
            <v>1168.9660802002227</v>
          </cell>
          <cell r="G85">
            <v>1037.192866545267</v>
          </cell>
          <cell r="H85">
            <v>131.77321365495564</v>
          </cell>
          <cell r="I85">
            <v>18728.789181698077</v>
          </cell>
          <cell r="J85">
            <v>22049.516555112998</v>
          </cell>
        </row>
        <row r="86">
          <cell r="A86">
            <v>68</v>
          </cell>
          <cell r="B86">
            <v>41671</v>
          </cell>
          <cell r="C86">
            <v>18728.789181698077</v>
          </cell>
          <cell r="D86">
            <v>1168.9660802002227</v>
          </cell>
          <cell r="E86">
            <v>0</v>
          </cell>
          <cell r="F86">
            <v>1168.9660802002227</v>
          </cell>
          <cell r="G86">
            <v>1044.1074856555688</v>
          </cell>
          <cell r="H86">
            <v>124.85859454465385</v>
          </cell>
          <cell r="I86">
            <v>17684.681696042509</v>
          </cell>
          <cell r="J86">
            <v>22174.375149657651</v>
          </cell>
        </row>
        <row r="87">
          <cell r="A87">
            <v>69</v>
          </cell>
          <cell r="B87">
            <v>41699</v>
          </cell>
          <cell r="C87">
            <v>17684.681696042509</v>
          </cell>
          <cell r="D87">
            <v>1168.9660802002227</v>
          </cell>
          <cell r="E87">
            <v>0</v>
          </cell>
          <cell r="F87">
            <v>1168.9660802002227</v>
          </cell>
          <cell r="G87">
            <v>1051.068202226606</v>
          </cell>
          <cell r="H87">
            <v>117.89787797361673</v>
          </cell>
          <cell r="I87">
            <v>16633.613493815905</v>
          </cell>
          <cell r="J87">
            <v>22292.273027631269</v>
          </cell>
        </row>
        <row r="88">
          <cell r="A88">
            <v>70</v>
          </cell>
          <cell r="B88">
            <v>41730</v>
          </cell>
          <cell r="C88">
            <v>16633.613493815905</v>
          </cell>
          <cell r="D88">
            <v>1168.9660802002227</v>
          </cell>
          <cell r="E88">
            <v>0</v>
          </cell>
          <cell r="F88">
            <v>1168.9660802002227</v>
          </cell>
          <cell r="G88">
            <v>1058.0753235747834</v>
          </cell>
          <cell r="H88">
            <v>110.89075662543938</v>
          </cell>
          <cell r="I88">
            <v>15575.538170241121</v>
          </cell>
          <cell r="J88">
            <v>22403.163784256707</v>
          </cell>
        </row>
        <row r="89">
          <cell r="A89">
            <v>71</v>
          </cell>
          <cell r="B89">
            <v>41760</v>
          </cell>
          <cell r="C89">
            <v>15575.538170241121</v>
          </cell>
          <cell r="D89">
            <v>1168.9660802002227</v>
          </cell>
          <cell r="E89">
            <v>0</v>
          </cell>
          <cell r="F89">
            <v>1168.9660802002227</v>
          </cell>
          <cell r="G89">
            <v>1065.1291590652818</v>
          </cell>
          <cell r="H89">
            <v>103.83692113494082</v>
          </cell>
          <cell r="I89">
            <v>14510.40901117584</v>
          </cell>
          <cell r="J89">
            <v>22507.000705391649</v>
          </cell>
        </row>
        <row r="90">
          <cell r="A90">
            <v>72</v>
          </cell>
          <cell r="B90">
            <v>41791</v>
          </cell>
          <cell r="C90">
            <v>14510.40901117584</v>
          </cell>
          <cell r="D90">
            <v>1168.9660802002227</v>
          </cell>
          <cell r="E90">
            <v>0</v>
          </cell>
          <cell r="F90">
            <v>1168.9660802002227</v>
          </cell>
          <cell r="G90">
            <v>1072.2300201257171</v>
          </cell>
          <cell r="H90">
            <v>96.736060074505602</v>
          </cell>
          <cell r="I90">
            <v>13438.178991050123</v>
          </cell>
          <cell r="J90">
            <v>22603.736765466154</v>
          </cell>
        </row>
        <row r="91">
          <cell r="A91">
            <v>73</v>
          </cell>
          <cell r="B91">
            <v>41821</v>
          </cell>
          <cell r="C91">
            <v>13438.178991050123</v>
          </cell>
          <cell r="D91">
            <v>1168.9660802002227</v>
          </cell>
          <cell r="E91">
            <v>0</v>
          </cell>
          <cell r="F91">
            <v>1168.9660802002227</v>
          </cell>
          <cell r="G91">
            <v>1079.3782202598886</v>
          </cell>
          <cell r="H91">
            <v>89.587859940334155</v>
          </cell>
          <cell r="I91">
            <v>12358.800770790234</v>
          </cell>
          <cell r="J91">
            <v>22693.324625406487</v>
          </cell>
        </row>
        <row r="92">
          <cell r="A92">
            <v>74</v>
          </cell>
          <cell r="B92">
            <v>41852</v>
          </cell>
          <cell r="C92">
            <v>12358.800770790234</v>
          </cell>
          <cell r="D92">
            <v>1168.9660802002227</v>
          </cell>
          <cell r="E92">
            <v>0</v>
          </cell>
          <cell r="F92">
            <v>1168.9660802002227</v>
          </cell>
          <cell r="G92">
            <v>1086.5740750616212</v>
          </cell>
          <cell r="H92">
            <v>82.392005138601561</v>
          </cell>
          <cell r="I92">
            <v>11272.226695728614</v>
          </cell>
          <cell r="J92">
            <v>22775.716630545088</v>
          </cell>
        </row>
        <row r="93">
          <cell r="A93">
            <v>75</v>
          </cell>
          <cell r="B93">
            <v>41883</v>
          </cell>
          <cell r="C93">
            <v>11272.226695728614</v>
          </cell>
          <cell r="D93">
            <v>1168.9660802002227</v>
          </cell>
          <cell r="E93">
            <v>0</v>
          </cell>
          <cell r="F93">
            <v>1168.9660802002227</v>
          </cell>
          <cell r="G93">
            <v>1093.8179022286986</v>
          </cell>
          <cell r="H93">
            <v>75.148177971524092</v>
          </cell>
          <cell r="I93">
            <v>10178.408793499915</v>
          </cell>
          <cell r="J93">
            <v>22850.864808516613</v>
          </cell>
        </row>
        <row r="94">
          <cell r="A94">
            <v>76</v>
          </cell>
          <cell r="B94">
            <v>41913</v>
          </cell>
          <cell r="C94">
            <v>10178.408793499915</v>
          </cell>
          <cell r="D94">
            <v>1168.9660802002227</v>
          </cell>
          <cell r="E94">
            <v>0</v>
          </cell>
          <cell r="F94">
            <v>1168.9660802002227</v>
          </cell>
          <cell r="G94">
            <v>1101.1100215768899</v>
          </cell>
          <cell r="H94">
            <v>67.856058623332771</v>
          </cell>
          <cell r="I94">
            <v>9077.2987719230259</v>
          </cell>
          <cell r="J94">
            <v>22918.720867139946</v>
          </cell>
        </row>
        <row r="95">
          <cell r="A95">
            <v>77</v>
          </cell>
          <cell r="B95">
            <v>41944</v>
          </cell>
          <cell r="C95">
            <v>9077.2987719230259</v>
          </cell>
          <cell r="D95">
            <v>1168.9660802002227</v>
          </cell>
          <cell r="E95">
            <v>0</v>
          </cell>
          <cell r="F95">
            <v>1168.9660802002227</v>
          </cell>
          <cell r="G95">
            <v>1108.4507550540691</v>
          </cell>
          <cell r="H95">
            <v>60.515325146153508</v>
          </cell>
          <cell r="I95">
            <v>7968.8480168689566</v>
          </cell>
          <cell r="J95">
            <v>22979.236192286098</v>
          </cell>
        </row>
        <row r="96">
          <cell r="A96">
            <v>78</v>
          </cell>
          <cell r="B96">
            <v>41974</v>
          </cell>
          <cell r="C96">
            <v>7968.8480168689566</v>
          </cell>
          <cell r="D96">
            <v>1168.9660802002227</v>
          </cell>
          <cell r="E96">
            <v>0</v>
          </cell>
          <cell r="F96">
            <v>1168.9660802002227</v>
          </cell>
          <cell r="G96">
            <v>1115.8404267544297</v>
          </cell>
          <cell r="H96">
            <v>53.125653445793041</v>
          </cell>
          <cell r="I96">
            <v>6853.0075901145265</v>
          </cell>
          <cell r="J96">
            <v>23032.361845731892</v>
          </cell>
        </row>
        <row r="97">
          <cell r="A97">
            <v>79</v>
          </cell>
          <cell r="B97">
            <v>42005</v>
          </cell>
          <cell r="C97">
            <v>6853.0075901145265</v>
          </cell>
          <cell r="D97">
            <v>1168.9660802002227</v>
          </cell>
          <cell r="E97">
            <v>0</v>
          </cell>
          <cell r="F97">
            <v>1168.9660802002227</v>
          </cell>
          <cell r="G97">
            <v>1123.2793629327925</v>
          </cell>
          <cell r="H97">
            <v>45.686717267430176</v>
          </cell>
          <cell r="I97">
            <v>5729.7282271817339</v>
          </cell>
          <cell r="J97">
            <v>23078.048562999324</v>
          </cell>
        </row>
        <row r="98">
          <cell r="A98">
            <v>80</v>
          </cell>
          <cell r="B98">
            <v>42036</v>
          </cell>
          <cell r="C98">
            <v>5729.7282271817339</v>
          </cell>
          <cell r="D98">
            <v>1168.9660802002227</v>
          </cell>
          <cell r="E98">
            <v>0</v>
          </cell>
          <cell r="F98">
            <v>1168.9660802002227</v>
          </cell>
          <cell r="G98">
            <v>1130.767892019011</v>
          </cell>
          <cell r="H98">
            <v>38.198188181211556</v>
          </cell>
          <cell r="I98">
            <v>4598.9603351627229</v>
          </cell>
          <cell r="J98">
            <v>23116.246751180533</v>
          </cell>
        </row>
        <row r="99">
          <cell r="A99">
            <v>81</v>
          </cell>
          <cell r="B99">
            <v>42064</v>
          </cell>
          <cell r="C99">
            <v>4598.9603351627229</v>
          </cell>
          <cell r="D99">
            <v>1168.9660802002227</v>
          </cell>
          <cell r="E99">
            <v>0</v>
          </cell>
          <cell r="F99">
            <v>1168.9660802002227</v>
          </cell>
          <cell r="G99">
            <v>1138.3063446324711</v>
          </cell>
          <cell r="H99">
            <v>30.659735567751486</v>
          </cell>
          <cell r="I99">
            <v>3460.6539905302516</v>
          </cell>
          <cell r="J99">
            <v>23146.906486748285</v>
          </cell>
        </row>
        <row r="100">
          <cell r="A100">
            <v>82</v>
          </cell>
          <cell r="B100">
            <v>42095</v>
          </cell>
          <cell r="C100">
            <v>3460.6539905302516</v>
          </cell>
          <cell r="D100">
            <v>1168.9660802002227</v>
          </cell>
          <cell r="E100">
            <v>0</v>
          </cell>
          <cell r="F100">
            <v>1168.9660802002227</v>
          </cell>
          <cell r="G100">
            <v>1145.8950535966876</v>
          </cell>
          <cell r="H100">
            <v>23.071026603535014</v>
          </cell>
          <cell r="I100">
            <v>2314.7589369335637</v>
          </cell>
          <cell r="J100">
            <v>23169.97751335182</v>
          </cell>
        </row>
        <row r="101">
          <cell r="A101">
            <v>83</v>
          </cell>
          <cell r="B101">
            <v>42125</v>
          </cell>
          <cell r="C101">
            <v>2314.7589369335637</v>
          </cell>
          <cell r="D101">
            <v>1168.9660802002227</v>
          </cell>
          <cell r="E101">
            <v>0</v>
          </cell>
          <cell r="F101">
            <v>1168.9660802002227</v>
          </cell>
          <cell r="G101">
            <v>1153.534353953999</v>
          </cell>
          <cell r="H101">
            <v>15.431726246223759</v>
          </cell>
          <cell r="I101">
            <v>1161.2245829795647</v>
          </cell>
          <cell r="J101">
            <v>23185.409239598044</v>
          </cell>
        </row>
        <row r="102">
          <cell r="A102">
            <v>84</v>
          </cell>
          <cell r="B102">
            <v>42156</v>
          </cell>
          <cell r="C102">
            <v>1161.2245829795647</v>
          </cell>
          <cell r="D102">
            <v>1168.9660802002227</v>
          </cell>
          <cell r="E102">
            <v>0</v>
          </cell>
          <cell r="F102">
            <v>1161.2245829795647</v>
          </cell>
          <cell r="G102">
            <v>1153.483085759701</v>
          </cell>
          <cell r="H102">
            <v>7.7414972198637644</v>
          </cell>
          <cell r="I102">
            <v>0</v>
          </cell>
          <cell r="J102">
            <v>23193.150736817908</v>
          </cell>
        </row>
        <row r="103">
          <cell r="A103">
            <v>85</v>
          </cell>
          <cell r="B103">
            <v>42186</v>
          </cell>
          <cell r="C103">
            <v>0</v>
          </cell>
          <cell r="D103">
            <v>1168.9660802002227</v>
          </cell>
          <cell r="E103">
            <v>0</v>
          </cell>
          <cell r="F103">
            <v>0</v>
          </cell>
          <cell r="G103">
            <v>0</v>
          </cell>
          <cell r="H103">
            <v>0</v>
          </cell>
          <cell r="I103">
            <v>0</v>
          </cell>
          <cell r="J103">
            <v>23193.150736817908</v>
          </cell>
        </row>
        <row r="104">
          <cell r="A104">
            <v>86</v>
          </cell>
          <cell r="B104">
            <v>42217</v>
          </cell>
          <cell r="C104">
            <v>0</v>
          </cell>
          <cell r="D104">
            <v>1168.9660802002227</v>
          </cell>
          <cell r="E104">
            <v>0</v>
          </cell>
          <cell r="F104">
            <v>0</v>
          </cell>
          <cell r="G104">
            <v>0</v>
          </cell>
          <cell r="H104">
            <v>0</v>
          </cell>
          <cell r="I104">
            <v>0</v>
          </cell>
          <cell r="J104">
            <v>23193.150736817908</v>
          </cell>
        </row>
        <row r="105">
          <cell r="A105">
            <v>87</v>
          </cell>
          <cell r="B105">
            <v>42248</v>
          </cell>
          <cell r="C105">
            <v>0</v>
          </cell>
          <cell r="D105">
            <v>1168.9660802002227</v>
          </cell>
          <cell r="E105">
            <v>0</v>
          </cell>
          <cell r="F105">
            <v>0</v>
          </cell>
          <cell r="G105">
            <v>0</v>
          </cell>
          <cell r="H105">
            <v>0</v>
          </cell>
          <cell r="I105">
            <v>0</v>
          </cell>
          <cell r="J105">
            <v>23193.150736817908</v>
          </cell>
        </row>
        <row r="106">
          <cell r="A106">
            <v>88</v>
          </cell>
          <cell r="B106">
            <v>42278</v>
          </cell>
          <cell r="C106">
            <v>0</v>
          </cell>
          <cell r="D106">
            <v>1168.9660802002227</v>
          </cell>
          <cell r="E106">
            <v>0</v>
          </cell>
          <cell r="F106">
            <v>0</v>
          </cell>
          <cell r="G106">
            <v>0</v>
          </cell>
          <cell r="H106">
            <v>0</v>
          </cell>
          <cell r="I106">
            <v>0</v>
          </cell>
          <cell r="J106">
            <v>23193.150736817908</v>
          </cell>
        </row>
        <row r="107">
          <cell r="A107">
            <v>89</v>
          </cell>
          <cell r="B107">
            <v>42309</v>
          </cell>
          <cell r="C107">
            <v>0</v>
          </cell>
          <cell r="D107">
            <v>1168.9660802002227</v>
          </cell>
          <cell r="E107">
            <v>0</v>
          </cell>
          <cell r="F107">
            <v>0</v>
          </cell>
          <cell r="G107">
            <v>0</v>
          </cell>
          <cell r="H107">
            <v>0</v>
          </cell>
          <cell r="I107">
            <v>0</v>
          </cell>
          <cell r="J107">
            <v>23193.150736817908</v>
          </cell>
        </row>
        <row r="108">
          <cell r="A108">
            <v>90</v>
          </cell>
          <cell r="B108">
            <v>42339</v>
          </cell>
          <cell r="C108">
            <v>0</v>
          </cell>
          <cell r="D108">
            <v>1168.9660802002227</v>
          </cell>
          <cell r="E108">
            <v>0</v>
          </cell>
          <cell r="F108">
            <v>0</v>
          </cell>
          <cell r="G108">
            <v>0</v>
          </cell>
          <cell r="H108">
            <v>0</v>
          </cell>
          <cell r="I108">
            <v>0</v>
          </cell>
          <cell r="J108">
            <v>23193.150736817908</v>
          </cell>
        </row>
        <row r="109">
          <cell r="A109">
            <v>91</v>
          </cell>
          <cell r="B109">
            <v>42370</v>
          </cell>
          <cell r="C109">
            <v>0</v>
          </cell>
          <cell r="D109">
            <v>1168.9660802002227</v>
          </cell>
          <cell r="E109">
            <v>0</v>
          </cell>
          <cell r="F109">
            <v>0</v>
          </cell>
          <cell r="G109">
            <v>0</v>
          </cell>
          <cell r="H109">
            <v>0</v>
          </cell>
          <cell r="I109">
            <v>0</v>
          </cell>
          <cell r="J109">
            <v>23193.150736817908</v>
          </cell>
        </row>
        <row r="110">
          <cell r="A110">
            <v>92</v>
          </cell>
          <cell r="B110">
            <v>42401</v>
          </cell>
          <cell r="C110">
            <v>0</v>
          </cell>
          <cell r="D110">
            <v>1168.9660802002227</v>
          </cell>
          <cell r="E110">
            <v>0</v>
          </cell>
          <cell r="F110">
            <v>0</v>
          </cell>
          <cell r="G110">
            <v>0</v>
          </cell>
          <cell r="H110">
            <v>0</v>
          </cell>
          <cell r="I110">
            <v>0</v>
          </cell>
          <cell r="J110">
            <v>23193.150736817908</v>
          </cell>
        </row>
        <row r="111">
          <cell r="A111">
            <v>93</v>
          </cell>
          <cell r="B111">
            <v>42430</v>
          </cell>
          <cell r="C111">
            <v>0</v>
          </cell>
          <cell r="D111">
            <v>1168.9660802002227</v>
          </cell>
          <cell r="E111">
            <v>0</v>
          </cell>
          <cell r="F111">
            <v>0</v>
          </cell>
          <cell r="G111">
            <v>0</v>
          </cell>
          <cell r="H111">
            <v>0</v>
          </cell>
          <cell r="I111">
            <v>0</v>
          </cell>
          <cell r="J111">
            <v>23193.150736817908</v>
          </cell>
        </row>
        <row r="112">
          <cell r="A112">
            <v>94</v>
          </cell>
          <cell r="B112">
            <v>42461</v>
          </cell>
          <cell r="C112">
            <v>0</v>
          </cell>
          <cell r="D112">
            <v>1168.9660802002227</v>
          </cell>
          <cell r="E112">
            <v>0</v>
          </cell>
          <cell r="F112">
            <v>0</v>
          </cell>
          <cell r="G112">
            <v>0</v>
          </cell>
          <cell r="H112">
            <v>0</v>
          </cell>
          <cell r="I112">
            <v>0</v>
          </cell>
          <cell r="J112">
            <v>23193.150736817908</v>
          </cell>
        </row>
        <row r="113">
          <cell r="A113">
            <v>95</v>
          </cell>
          <cell r="B113">
            <v>42491</v>
          </cell>
          <cell r="C113">
            <v>0</v>
          </cell>
          <cell r="D113">
            <v>1168.9660802002227</v>
          </cell>
          <cell r="E113">
            <v>0</v>
          </cell>
          <cell r="F113">
            <v>0</v>
          </cell>
          <cell r="G113">
            <v>0</v>
          </cell>
          <cell r="H113">
            <v>0</v>
          </cell>
          <cell r="I113">
            <v>0</v>
          </cell>
          <cell r="J113">
            <v>23193.150736817908</v>
          </cell>
        </row>
        <row r="114">
          <cell r="A114">
            <v>96</v>
          </cell>
          <cell r="B114">
            <v>42522</v>
          </cell>
          <cell r="C114">
            <v>0</v>
          </cell>
          <cell r="D114">
            <v>1168.9660802002227</v>
          </cell>
          <cell r="E114">
            <v>0</v>
          </cell>
          <cell r="F114">
            <v>0</v>
          </cell>
          <cell r="G114">
            <v>0</v>
          </cell>
          <cell r="H114">
            <v>0</v>
          </cell>
          <cell r="I114">
            <v>0</v>
          </cell>
          <cell r="J114">
            <v>23193.150736817908</v>
          </cell>
        </row>
        <row r="115">
          <cell r="A115">
            <v>97</v>
          </cell>
          <cell r="B115">
            <v>42552</v>
          </cell>
          <cell r="C115">
            <v>0</v>
          </cell>
          <cell r="D115">
            <v>1168.9660802002227</v>
          </cell>
          <cell r="E115">
            <v>0</v>
          </cell>
          <cell r="F115">
            <v>0</v>
          </cell>
          <cell r="G115">
            <v>0</v>
          </cell>
          <cell r="H115">
            <v>0</v>
          </cell>
          <cell r="I115">
            <v>0</v>
          </cell>
          <cell r="J115">
            <v>23193.150736817908</v>
          </cell>
        </row>
        <row r="116">
          <cell r="A116">
            <v>98</v>
          </cell>
          <cell r="B116">
            <v>42583</v>
          </cell>
          <cell r="C116">
            <v>0</v>
          </cell>
          <cell r="D116">
            <v>1168.9660802002227</v>
          </cell>
          <cell r="E116">
            <v>0</v>
          </cell>
          <cell r="F116">
            <v>0</v>
          </cell>
          <cell r="G116">
            <v>0</v>
          </cell>
          <cell r="H116">
            <v>0</v>
          </cell>
          <cell r="I116">
            <v>0</v>
          </cell>
          <cell r="J116">
            <v>23193.150736817908</v>
          </cell>
        </row>
        <row r="117">
          <cell r="A117">
            <v>99</v>
          </cell>
          <cell r="B117">
            <v>42614</v>
          </cell>
          <cell r="C117">
            <v>0</v>
          </cell>
          <cell r="D117">
            <v>1168.9660802002227</v>
          </cell>
          <cell r="E117">
            <v>0</v>
          </cell>
          <cell r="F117">
            <v>0</v>
          </cell>
          <cell r="G117">
            <v>0</v>
          </cell>
          <cell r="H117">
            <v>0</v>
          </cell>
          <cell r="I117">
            <v>0</v>
          </cell>
          <cell r="J117">
            <v>23193.150736817908</v>
          </cell>
        </row>
        <row r="118">
          <cell r="A118">
            <v>100</v>
          </cell>
          <cell r="B118">
            <v>42644</v>
          </cell>
          <cell r="C118">
            <v>0</v>
          </cell>
          <cell r="D118">
            <v>1168.9660802002227</v>
          </cell>
          <cell r="E118">
            <v>0</v>
          </cell>
          <cell r="F118">
            <v>0</v>
          </cell>
          <cell r="G118">
            <v>0</v>
          </cell>
          <cell r="H118">
            <v>0</v>
          </cell>
          <cell r="I118">
            <v>0</v>
          </cell>
          <cell r="J118">
            <v>23193.150736817908</v>
          </cell>
        </row>
        <row r="119">
          <cell r="A119">
            <v>101</v>
          </cell>
          <cell r="B119">
            <v>42675</v>
          </cell>
          <cell r="C119">
            <v>0</v>
          </cell>
          <cell r="D119">
            <v>1168.9660802002227</v>
          </cell>
          <cell r="E119">
            <v>0</v>
          </cell>
          <cell r="F119">
            <v>0</v>
          </cell>
          <cell r="G119">
            <v>0</v>
          </cell>
          <cell r="H119">
            <v>0</v>
          </cell>
          <cell r="I119">
            <v>0</v>
          </cell>
          <cell r="J119">
            <v>23193.150736817908</v>
          </cell>
        </row>
        <row r="120">
          <cell r="A120">
            <v>102</v>
          </cell>
          <cell r="B120">
            <v>42705</v>
          </cell>
          <cell r="C120">
            <v>0</v>
          </cell>
          <cell r="D120">
            <v>1168.9660802002227</v>
          </cell>
          <cell r="E120">
            <v>0</v>
          </cell>
          <cell r="F120">
            <v>0</v>
          </cell>
          <cell r="G120">
            <v>0</v>
          </cell>
          <cell r="H120">
            <v>0</v>
          </cell>
          <cell r="I120">
            <v>0</v>
          </cell>
          <cell r="J120">
            <v>23193.150736817908</v>
          </cell>
        </row>
        <row r="121">
          <cell r="A121">
            <v>103</v>
          </cell>
          <cell r="B121">
            <v>42736</v>
          </cell>
          <cell r="C121">
            <v>0</v>
          </cell>
          <cell r="D121">
            <v>1168.9660802002227</v>
          </cell>
          <cell r="E121">
            <v>0</v>
          </cell>
          <cell r="F121">
            <v>0</v>
          </cell>
          <cell r="G121">
            <v>0</v>
          </cell>
          <cell r="H121">
            <v>0</v>
          </cell>
          <cell r="I121">
            <v>0</v>
          </cell>
          <cell r="J121">
            <v>23193.150736817908</v>
          </cell>
        </row>
        <row r="122">
          <cell r="A122">
            <v>104</v>
          </cell>
          <cell r="B122">
            <v>42767</v>
          </cell>
          <cell r="C122">
            <v>0</v>
          </cell>
          <cell r="D122">
            <v>1168.9660802002227</v>
          </cell>
          <cell r="E122">
            <v>0</v>
          </cell>
          <cell r="F122">
            <v>0</v>
          </cell>
          <cell r="G122">
            <v>0</v>
          </cell>
          <cell r="H122">
            <v>0</v>
          </cell>
          <cell r="I122">
            <v>0</v>
          </cell>
          <cell r="J122">
            <v>23193.150736817908</v>
          </cell>
        </row>
        <row r="123">
          <cell r="A123">
            <v>105</v>
          </cell>
          <cell r="B123">
            <v>42795</v>
          </cell>
          <cell r="C123">
            <v>0</v>
          </cell>
          <cell r="D123">
            <v>1168.9660802002227</v>
          </cell>
          <cell r="E123">
            <v>0</v>
          </cell>
          <cell r="F123">
            <v>0</v>
          </cell>
          <cell r="G123">
            <v>0</v>
          </cell>
          <cell r="H123">
            <v>0</v>
          </cell>
          <cell r="I123">
            <v>0</v>
          </cell>
          <cell r="J123">
            <v>23193.150736817908</v>
          </cell>
        </row>
        <row r="124">
          <cell r="A124">
            <v>106</v>
          </cell>
          <cell r="B124">
            <v>42826</v>
          </cell>
          <cell r="C124">
            <v>0</v>
          </cell>
          <cell r="D124">
            <v>1168.9660802002227</v>
          </cell>
          <cell r="E124">
            <v>0</v>
          </cell>
          <cell r="F124">
            <v>0</v>
          </cell>
          <cell r="G124">
            <v>0</v>
          </cell>
          <cell r="H124">
            <v>0</v>
          </cell>
          <cell r="I124">
            <v>0</v>
          </cell>
          <cell r="J124">
            <v>23193.150736817908</v>
          </cell>
        </row>
        <row r="125">
          <cell r="A125">
            <v>107</v>
          </cell>
          <cell r="B125">
            <v>42856</v>
          </cell>
          <cell r="C125">
            <v>0</v>
          </cell>
          <cell r="D125">
            <v>1168.9660802002227</v>
          </cell>
          <cell r="E125">
            <v>0</v>
          </cell>
          <cell r="F125">
            <v>0</v>
          </cell>
          <cell r="G125">
            <v>0</v>
          </cell>
          <cell r="H125">
            <v>0</v>
          </cell>
          <cell r="I125">
            <v>0</v>
          </cell>
          <cell r="J125">
            <v>23193.150736817908</v>
          </cell>
        </row>
        <row r="126">
          <cell r="A126">
            <v>108</v>
          </cell>
          <cell r="B126">
            <v>42887</v>
          </cell>
          <cell r="C126">
            <v>0</v>
          </cell>
          <cell r="D126">
            <v>1168.9660802002227</v>
          </cell>
          <cell r="E126">
            <v>0</v>
          </cell>
          <cell r="F126">
            <v>0</v>
          </cell>
          <cell r="G126">
            <v>0</v>
          </cell>
          <cell r="H126">
            <v>0</v>
          </cell>
          <cell r="I126">
            <v>0</v>
          </cell>
          <cell r="J126">
            <v>23193.150736817908</v>
          </cell>
        </row>
        <row r="127">
          <cell r="A127">
            <v>109</v>
          </cell>
          <cell r="B127">
            <v>42917</v>
          </cell>
          <cell r="C127">
            <v>0</v>
          </cell>
          <cell r="D127">
            <v>1168.9660802002227</v>
          </cell>
          <cell r="E127">
            <v>0</v>
          </cell>
          <cell r="F127">
            <v>0</v>
          </cell>
          <cell r="G127">
            <v>0</v>
          </cell>
          <cell r="H127">
            <v>0</v>
          </cell>
          <cell r="I127">
            <v>0</v>
          </cell>
          <cell r="J127">
            <v>23193.150736817908</v>
          </cell>
        </row>
        <row r="128">
          <cell r="A128">
            <v>110</v>
          </cell>
          <cell r="B128">
            <v>42948</v>
          </cell>
          <cell r="C128">
            <v>0</v>
          </cell>
          <cell r="D128">
            <v>1168.9660802002227</v>
          </cell>
          <cell r="E128">
            <v>0</v>
          </cell>
          <cell r="F128">
            <v>0</v>
          </cell>
          <cell r="G128">
            <v>0</v>
          </cell>
          <cell r="H128">
            <v>0</v>
          </cell>
          <cell r="I128">
            <v>0</v>
          </cell>
          <cell r="J128">
            <v>23193.150736817908</v>
          </cell>
        </row>
        <row r="129">
          <cell r="A129">
            <v>111</v>
          </cell>
          <cell r="B129">
            <v>42979</v>
          </cell>
          <cell r="C129">
            <v>0</v>
          </cell>
          <cell r="D129">
            <v>1168.9660802002227</v>
          </cell>
          <cell r="E129">
            <v>0</v>
          </cell>
          <cell r="F129">
            <v>0</v>
          </cell>
          <cell r="G129">
            <v>0</v>
          </cell>
          <cell r="H129">
            <v>0</v>
          </cell>
          <cell r="I129">
            <v>0</v>
          </cell>
          <cell r="J129">
            <v>23193.150736817908</v>
          </cell>
        </row>
        <row r="130">
          <cell r="A130">
            <v>112</v>
          </cell>
          <cell r="B130">
            <v>43009</v>
          </cell>
          <cell r="C130">
            <v>0</v>
          </cell>
          <cell r="D130">
            <v>1168.9660802002227</v>
          </cell>
          <cell r="E130">
            <v>0</v>
          </cell>
          <cell r="F130">
            <v>0</v>
          </cell>
          <cell r="G130">
            <v>0</v>
          </cell>
          <cell r="H130">
            <v>0</v>
          </cell>
          <cell r="I130">
            <v>0</v>
          </cell>
          <cell r="J130">
            <v>23193.150736817908</v>
          </cell>
        </row>
        <row r="131">
          <cell r="A131">
            <v>113</v>
          </cell>
          <cell r="B131">
            <v>43040</v>
          </cell>
          <cell r="C131">
            <v>0</v>
          </cell>
          <cell r="D131">
            <v>1168.9660802002227</v>
          </cell>
          <cell r="E131">
            <v>0</v>
          </cell>
          <cell r="F131">
            <v>0</v>
          </cell>
          <cell r="G131">
            <v>0</v>
          </cell>
          <cell r="H131">
            <v>0</v>
          </cell>
          <cell r="I131">
            <v>0</v>
          </cell>
          <cell r="J131">
            <v>23193.150736817908</v>
          </cell>
        </row>
        <row r="132">
          <cell r="A132">
            <v>114</v>
          </cell>
          <cell r="B132">
            <v>43070</v>
          </cell>
          <cell r="C132">
            <v>0</v>
          </cell>
          <cell r="D132">
            <v>1168.9660802002227</v>
          </cell>
          <cell r="E132">
            <v>0</v>
          </cell>
          <cell r="F132">
            <v>0</v>
          </cell>
          <cell r="G132">
            <v>0</v>
          </cell>
          <cell r="H132">
            <v>0</v>
          </cell>
          <cell r="I132">
            <v>0</v>
          </cell>
          <cell r="J132">
            <v>23193.150736817908</v>
          </cell>
        </row>
        <row r="133">
          <cell r="A133">
            <v>115</v>
          </cell>
          <cell r="B133">
            <v>43101</v>
          </cell>
          <cell r="C133">
            <v>0</v>
          </cell>
          <cell r="D133">
            <v>1168.9660802002227</v>
          </cell>
          <cell r="E133">
            <v>0</v>
          </cell>
          <cell r="F133">
            <v>0</v>
          </cell>
          <cell r="G133">
            <v>0</v>
          </cell>
          <cell r="H133">
            <v>0</v>
          </cell>
          <cell r="I133">
            <v>0</v>
          </cell>
          <cell r="J133">
            <v>23193.150736817908</v>
          </cell>
        </row>
        <row r="134">
          <cell r="A134">
            <v>116</v>
          </cell>
          <cell r="B134">
            <v>43132</v>
          </cell>
          <cell r="C134">
            <v>0</v>
          </cell>
          <cell r="D134">
            <v>1168.9660802002227</v>
          </cell>
          <cell r="E134">
            <v>0</v>
          </cell>
          <cell r="F134">
            <v>0</v>
          </cell>
          <cell r="G134">
            <v>0</v>
          </cell>
          <cell r="H134">
            <v>0</v>
          </cell>
          <cell r="I134">
            <v>0</v>
          </cell>
          <cell r="J134">
            <v>23193.150736817908</v>
          </cell>
        </row>
        <row r="135">
          <cell r="A135">
            <v>117</v>
          </cell>
          <cell r="B135">
            <v>43160</v>
          </cell>
          <cell r="C135">
            <v>0</v>
          </cell>
          <cell r="D135">
            <v>1168.9660802002227</v>
          </cell>
          <cell r="E135">
            <v>0</v>
          </cell>
          <cell r="F135">
            <v>0</v>
          </cell>
          <cell r="G135">
            <v>0</v>
          </cell>
          <cell r="H135">
            <v>0</v>
          </cell>
          <cell r="I135">
            <v>0</v>
          </cell>
          <cell r="J135">
            <v>23193.150736817908</v>
          </cell>
        </row>
        <row r="136">
          <cell r="A136">
            <v>118</v>
          </cell>
          <cell r="B136">
            <v>43191</v>
          </cell>
          <cell r="C136">
            <v>0</v>
          </cell>
          <cell r="D136">
            <v>1168.9660802002227</v>
          </cell>
          <cell r="E136">
            <v>0</v>
          </cell>
          <cell r="F136">
            <v>0</v>
          </cell>
          <cell r="G136">
            <v>0</v>
          </cell>
          <cell r="H136">
            <v>0</v>
          </cell>
          <cell r="I136">
            <v>0</v>
          </cell>
          <cell r="J136">
            <v>23193.150736817908</v>
          </cell>
        </row>
        <row r="137">
          <cell r="A137">
            <v>119</v>
          </cell>
          <cell r="B137">
            <v>43221</v>
          </cell>
          <cell r="C137">
            <v>0</v>
          </cell>
          <cell r="D137">
            <v>1168.9660802002227</v>
          </cell>
          <cell r="E137">
            <v>0</v>
          </cell>
          <cell r="F137">
            <v>0</v>
          </cell>
          <cell r="G137">
            <v>0</v>
          </cell>
          <cell r="H137">
            <v>0</v>
          </cell>
          <cell r="I137">
            <v>0</v>
          </cell>
          <cell r="J137">
            <v>23193.150736817908</v>
          </cell>
        </row>
        <row r="138">
          <cell r="A138">
            <v>120</v>
          </cell>
          <cell r="B138">
            <v>43252</v>
          </cell>
          <cell r="C138">
            <v>0</v>
          </cell>
          <cell r="D138">
            <v>1168.9660802002227</v>
          </cell>
          <cell r="E138">
            <v>0</v>
          </cell>
          <cell r="F138">
            <v>0</v>
          </cell>
          <cell r="G138">
            <v>0</v>
          </cell>
          <cell r="H138">
            <v>0</v>
          </cell>
          <cell r="I138">
            <v>0</v>
          </cell>
          <cell r="J138">
            <v>23193.150736817908</v>
          </cell>
        </row>
        <row r="139">
          <cell r="A139">
            <v>121</v>
          </cell>
          <cell r="B139">
            <v>43282</v>
          </cell>
          <cell r="C139">
            <v>0</v>
          </cell>
          <cell r="D139">
            <v>1168.9660802002227</v>
          </cell>
          <cell r="E139">
            <v>0</v>
          </cell>
          <cell r="F139">
            <v>0</v>
          </cell>
          <cell r="G139">
            <v>0</v>
          </cell>
          <cell r="H139">
            <v>0</v>
          </cell>
          <cell r="I139">
            <v>0</v>
          </cell>
          <cell r="J139">
            <v>23193.150736817908</v>
          </cell>
        </row>
        <row r="140">
          <cell r="A140">
            <v>122</v>
          </cell>
          <cell r="B140">
            <v>43313</v>
          </cell>
          <cell r="C140">
            <v>0</v>
          </cell>
          <cell r="D140">
            <v>1168.9660802002227</v>
          </cell>
          <cell r="E140">
            <v>0</v>
          </cell>
          <cell r="F140">
            <v>0</v>
          </cell>
          <cell r="G140">
            <v>0</v>
          </cell>
          <cell r="H140">
            <v>0</v>
          </cell>
          <cell r="I140">
            <v>0</v>
          </cell>
          <cell r="J140">
            <v>23193.150736817908</v>
          </cell>
        </row>
        <row r="141">
          <cell r="A141">
            <v>123</v>
          </cell>
          <cell r="B141">
            <v>43344</v>
          </cell>
          <cell r="C141">
            <v>0</v>
          </cell>
          <cell r="D141">
            <v>1168.9660802002227</v>
          </cell>
          <cell r="E141">
            <v>0</v>
          </cell>
          <cell r="F141">
            <v>0</v>
          </cell>
          <cell r="G141">
            <v>0</v>
          </cell>
          <cell r="H141">
            <v>0</v>
          </cell>
          <cell r="I141">
            <v>0</v>
          </cell>
          <cell r="J141">
            <v>23193.150736817908</v>
          </cell>
        </row>
        <row r="142">
          <cell r="A142">
            <v>124</v>
          </cell>
          <cell r="B142">
            <v>43374</v>
          </cell>
          <cell r="C142">
            <v>0</v>
          </cell>
          <cell r="D142">
            <v>1168.9660802002227</v>
          </cell>
          <cell r="E142">
            <v>0</v>
          </cell>
          <cell r="F142">
            <v>0</v>
          </cell>
          <cell r="G142">
            <v>0</v>
          </cell>
          <cell r="H142">
            <v>0</v>
          </cell>
          <cell r="I142">
            <v>0</v>
          </cell>
          <cell r="J142">
            <v>23193.150736817908</v>
          </cell>
        </row>
        <row r="143">
          <cell r="A143">
            <v>125</v>
          </cell>
          <cell r="B143">
            <v>43405</v>
          </cell>
          <cell r="C143">
            <v>0</v>
          </cell>
          <cell r="D143">
            <v>1168.9660802002227</v>
          </cell>
          <cell r="E143">
            <v>0</v>
          </cell>
          <cell r="F143">
            <v>0</v>
          </cell>
          <cell r="G143">
            <v>0</v>
          </cell>
          <cell r="H143">
            <v>0</v>
          </cell>
          <cell r="I143">
            <v>0</v>
          </cell>
          <cell r="J143">
            <v>23193.150736817908</v>
          </cell>
        </row>
        <row r="144">
          <cell r="A144">
            <v>126</v>
          </cell>
          <cell r="B144">
            <v>43435</v>
          </cell>
          <cell r="C144">
            <v>0</v>
          </cell>
          <cell r="D144">
            <v>1168.9660802002227</v>
          </cell>
          <cell r="E144">
            <v>0</v>
          </cell>
          <cell r="F144">
            <v>0</v>
          </cell>
          <cell r="G144">
            <v>0</v>
          </cell>
          <cell r="H144">
            <v>0</v>
          </cell>
          <cell r="I144">
            <v>0</v>
          </cell>
          <cell r="J144">
            <v>23193.150736817908</v>
          </cell>
        </row>
        <row r="145">
          <cell r="A145">
            <v>127</v>
          </cell>
          <cell r="B145">
            <v>43466</v>
          </cell>
          <cell r="C145">
            <v>0</v>
          </cell>
          <cell r="D145">
            <v>1168.9660802002227</v>
          </cell>
          <cell r="E145">
            <v>0</v>
          </cell>
          <cell r="F145">
            <v>0</v>
          </cell>
          <cell r="G145">
            <v>0</v>
          </cell>
          <cell r="H145">
            <v>0</v>
          </cell>
          <cell r="I145">
            <v>0</v>
          </cell>
          <cell r="J145">
            <v>23193.150736817908</v>
          </cell>
        </row>
        <row r="146">
          <cell r="A146">
            <v>128</v>
          </cell>
          <cell r="B146">
            <v>43497</v>
          </cell>
          <cell r="C146">
            <v>0</v>
          </cell>
          <cell r="D146">
            <v>1168.9660802002227</v>
          </cell>
          <cell r="E146">
            <v>0</v>
          </cell>
          <cell r="F146">
            <v>0</v>
          </cell>
          <cell r="G146">
            <v>0</v>
          </cell>
          <cell r="H146">
            <v>0</v>
          </cell>
          <cell r="I146">
            <v>0</v>
          </cell>
          <cell r="J146">
            <v>23193.150736817908</v>
          </cell>
        </row>
        <row r="147">
          <cell r="A147">
            <v>129</v>
          </cell>
          <cell r="B147">
            <v>43525</v>
          </cell>
          <cell r="C147">
            <v>0</v>
          </cell>
          <cell r="D147">
            <v>1168.9660802002227</v>
          </cell>
          <cell r="E147">
            <v>0</v>
          </cell>
          <cell r="F147">
            <v>0</v>
          </cell>
          <cell r="G147">
            <v>0</v>
          </cell>
          <cell r="H147">
            <v>0</v>
          </cell>
          <cell r="I147">
            <v>0</v>
          </cell>
          <cell r="J147">
            <v>23193.150736817908</v>
          </cell>
        </row>
        <row r="148">
          <cell r="A148">
            <v>130</v>
          </cell>
          <cell r="B148">
            <v>43556</v>
          </cell>
          <cell r="C148">
            <v>0</v>
          </cell>
          <cell r="D148">
            <v>1168.9660802002227</v>
          </cell>
          <cell r="E148">
            <v>0</v>
          </cell>
          <cell r="F148">
            <v>0</v>
          </cell>
          <cell r="G148">
            <v>0</v>
          </cell>
          <cell r="H148">
            <v>0</v>
          </cell>
          <cell r="I148">
            <v>0</v>
          </cell>
          <cell r="J148">
            <v>23193.150736817908</v>
          </cell>
        </row>
        <row r="149">
          <cell r="A149">
            <v>131</v>
          </cell>
          <cell r="B149">
            <v>43586</v>
          </cell>
          <cell r="C149">
            <v>0</v>
          </cell>
          <cell r="D149">
            <v>1168.9660802002227</v>
          </cell>
          <cell r="E149">
            <v>0</v>
          </cell>
          <cell r="F149">
            <v>0</v>
          </cell>
          <cell r="G149">
            <v>0</v>
          </cell>
          <cell r="H149">
            <v>0</v>
          </cell>
          <cell r="I149">
            <v>0</v>
          </cell>
          <cell r="J149">
            <v>23193.150736817908</v>
          </cell>
        </row>
        <row r="150">
          <cell r="A150">
            <v>132</v>
          </cell>
          <cell r="B150">
            <v>43617</v>
          </cell>
          <cell r="C150">
            <v>0</v>
          </cell>
          <cell r="D150">
            <v>1168.9660802002227</v>
          </cell>
          <cell r="E150">
            <v>0</v>
          </cell>
          <cell r="F150">
            <v>0</v>
          </cell>
          <cell r="G150">
            <v>0</v>
          </cell>
          <cell r="H150">
            <v>0</v>
          </cell>
          <cell r="I150">
            <v>0</v>
          </cell>
          <cell r="J150">
            <v>23193.150736817908</v>
          </cell>
        </row>
        <row r="151">
          <cell r="A151">
            <v>133</v>
          </cell>
          <cell r="B151">
            <v>43647</v>
          </cell>
          <cell r="C151">
            <v>0</v>
          </cell>
          <cell r="D151">
            <v>1168.9660802002227</v>
          </cell>
          <cell r="E151">
            <v>0</v>
          </cell>
          <cell r="F151">
            <v>0</v>
          </cell>
          <cell r="G151">
            <v>0</v>
          </cell>
          <cell r="H151">
            <v>0</v>
          </cell>
          <cell r="I151">
            <v>0</v>
          </cell>
          <cell r="J151">
            <v>23193.150736817908</v>
          </cell>
        </row>
        <row r="152">
          <cell r="A152">
            <v>134</v>
          </cell>
          <cell r="B152">
            <v>43678</v>
          </cell>
          <cell r="C152">
            <v>0</v>
          </cell>
          <cell r="D152">
            <v>1168.9660802002227</v>
          </cell>
          <cell r="E152">
            <v>0</v>
          </cell>
          <cell r="F152">
            <v>0</v>
          </cell>
          <cell r="G152">
            <v>0</v>
          </cell>
          <cell r="H152">
            <v>0</v>
          </cell>
          <cell r="I152">
            <v>0</v>
          </cell>
          <cell r="J152">
            <v>23193.150736817908</v>
          </cell>
        </row>
        <row r="153">
          <cell r="A153">
            <v>135</v>
          </cell>
          <cell r="B153">
            <v>43709</v>
          </cell>
          <cell r="C153">
            <v>0</v>
          </cell>
          <cell r="D153">
            <v>1168.9660802002227</v>
          </cell>
          <cell r="E153">
            <v>0</v>
          </cell>
          <cell r="F153">
            <v>0</v>
          </cell>
          <cell r="G153">
            <v>0</v>
          </cell>
          <cell r="H153">
            <v>0</v>
          </cell>
          <cell r="I153">
            <v>0</v>
          </cell>
          <cell r="J153">
            <v>23193.150736817908</v>
          </cell>
        </row>
        <row r="154">
          <cell r="A154">
            <v>136</v>
          </cell>
          <cell r="B154">
            <v>43739</v>
          </cell>
          <cell r="C154">
            <v>0</v>
          </cell>
          <cell r="D154">
            <v>1168.9660802002227</v>
          </cell>
          <cell r="E154">
            <v>0</v>
          </cell>
          <cell r="F154">
            <v>0</v>
          </cell>
          <cell r="G154">
            <v>0</v>
          </cell>
          <cell r="H154">
            <v>0</v>
          </cell>
          <cell r="I154">
            <v>0</v>
          </cell>
          <cell r="J154">
            <v>23193.150736817908</v>
          </cell>
        </row>
        <row r="155">
          <cell r="A155">
            <v>137</v>
          </cell>
          <cell r="B155">
            <v>43770</v>
          </cell>
          <cell r="C155">
            <v>0</v>
          </cell>
          <cell r="D155">
            <v>1168.9660802002227</v>
          </cell>
          <cell r="E155">
            <v>0</v>
          </cell>
          <cell r="F155">
            <v>0</v>
          </cell>
          <cell r="G155">
            <v>0</v>
          </cell>
          <cell r="H155">
            <v>0</v>
          </cell>
          <cell r="I155">
            <v>0</v>
          </cell>
          <cell r="J155">
            <v>23193.150736817908</v>
          </cell>
        </row>
        <row r="156">
          <cell r="A156">
            <v>138</v>
          </cell>
          <cell r="B156">
            <v>43800</v>
          </cell>
          <cell r="C156">
            <v>0</v>
          </cell>
          <cell r="D156">
            <v>1168.9660802002227</v>
          </cell>
          <cell r="E156">
            <v>0</v>
          </cell>
          <cell r="F156">
            <v>0</v>
          </cell>
          <cell r="G156">
            <v>0</v>
          </cell>
          <cell r="H156">
            <v>0</v>
          </cell>
          <cell r="I156">
            <v>0</v>
          </cell>
          <cell r="J156">
            <v>23193.150736817908</v>
          </cell>
        </row>
        <row r="157">
          <cell r="A157">
            <v>139</v>
          </cell>
          <cell r="B157">
            <v>43831</v>
          </cell>
          <cell r="C157">
            <v>0</v>
          </cell>
          <cell r="D157">
            <v>1168.9660802002227</v>
          </cell>
          <cell r="E157">
            <v>0</v>
          </cell>
          <cell r="F157">
            <v>0</v>
          </cell>
          <cell r="G157">
            <v>0</v>
          </cell>
          <cell r="H157">
            <v>0</v>
          </cell>
          <cell r="I157">
            <v>0</v>
          </cell>
          <cell r="J157">
            <v>23193.150736817908</v>
          </cell>
        </row>
        <row r="158">
          <cell r="A158">
            <v>140</v>
          </cell>
          <cell r="B158">
            <v>43862</v>
          </cell>
          <cell r="C158">
            <v>0</v>
          </cell>
          <cell r="D158">
            <v>1168.9660802002227</v>
          </cell>
          <cell r="E158">
            <v>0</v>
          </cell>
          <cell r="F158">
            <v>0</v>
          </cell>
          <cell r="G158">
            <v>0</v>
          </cell>
          <cell r="H158">
            <v>0</v>
          </cell>
          <cell r="I158">
            <v>0</v>
          </cell>
          <cell r="J158">
            <v>23193.150736817908</v>
          </cell>
        </row>
        <row r="159">
          <cell r="A159">
            <v>141</v>
          </cell>
          <cell r="B159">
            <v>43891</v>
          </cell>
          <cell r="C159">
            <v>0</v>
          </cell>
          <cell r="D159">
            <v>1168.9660802002227</v>
          </cell>
          <cell r="E159">
            <v>0</v>
          </cell>
          <cell r="F159">
            <v>0</v>
          </cell>
          <cell r="G159">
            <v>0</v>
          </cell>
          <cell r="H159">
            <v>0</v>
          </cell>
          <cell r="I159">
            <v>0</v>
          </cell>
          <cell r="J159">
            <v>23193.150736817908</v>
          </cell>
        </row>
        <row r="160">
          <cell r="A160">
            <v>142</v>
          </cell>
          <cell r="B160">
            <v>43922</v>
          </cell>
          <cell r="C160">
            <v>0</v>
          </cell>
          <cell r="D160">
            <v>1168.9660802002227</v>
          </cell>
          <cell r="E160">
            <v>0</v>
          </cell>
          <cell r="F160">
            <v>0</v>
          </cell>
          <cell r="G160">
            <v>0</v>
          </cell>
          <cell r="H160">
            <v>0</v>
          </cell>
          <cell r="I160">
            <v>0</v>
          </cell>
          <cell r="J160">
            <v>23193.150736817908</v>
          </cell>
        </row>
        <row r="161">
          <cell r="A161">
            <v>143</v>
          </cell>
          <cell r="B161">
            <v>43952</v>
          </cell>
          <cell r="C161">
            <v>0</v>
          </cell>
          <cell r="D161">
            <v>1168.9660802002227</v>
          </cell>
          <cell r="E161">
            <v>0</v>
          </cell>
          <cell r="F161">
            <v>0</v>
          </cell>
          <cell r="G161">
            <v>0</v>
          </cell>
          <cell r="H161">
            <v>0</v>
          </cell>
          <cell r="I161">
            <v>0</v>
          </cell>
          <cell r="J161">
            <v>23193.150736817908</v>
          </cell>
        </row>
        <row r="162">
          <cell r="A162">
            <v>144</v>
          </cell>
          <cell r="B162">
            <v>43983</v>
          </cell>
          <cell r="C162">
            <v>0</v>
          </cell>
          <cell r="D162">
            <v>1168.9660802002227</v>
          </cell>
          <cell r="E162">
            <v>0</v>
          </cell>
          <cell r="F162">
            <v>0</v>
          </cell>
          <cell r="G162">
            <v>0</v>
          </cell>
          <cell r="H162">
            <v>0</v>
          </cell>
          <cell r="I162">
            <v>0</v>
          </cell>
          <cell r="J162">
            <v>23193.150736817908</v>
          </cell>
        </row>
        <row r="163">
          <cell r="A163">
            <v>145</v>
          </cell>
          <cell r="B163">
            <v>44013</v>
          </cell>
          <cell r="C163">
            <v>0</v>
          </cell>
          <cell r="D163">
            <v>1168.9660802002227</v>
          </cell>
          <cell r="E163">
            <v>0</v>
          </cell>
          <cell r="F163">
            <v>0</v>
          </cell>
          <cell r="G163">
            <v>0</v>
          </cell>
          <cell r="H163">
            <v>0</v>
          </cell>
          <cell r="I163">
            <v>0</v>
          </cell>
          <cell r="J163">
            <v>23193.150736817908</v>
          </cell>
        </row>
        <row r="164">
          <cell r="A164">
            <v>146</v>
          </cell>
          <cell r="B164">
            <v>44044</v>
          </cell>
          <cell r="C164">
            <v>0</v>
          </cell>
          <cell r="D164">
            <v>1168.9660802002227</v>
          </cell>
          <cell r="E164">
            <v>0</v>
          </cell>
          <cell r="F164">
            <v>0</v>
          </cell>
          <cell r="G164">
            <v>0</v>
          </cell>
          <cell r="H164">
            <v>0</v>
          </cell>
          <cell r="I164">
            <v>0</v>
          </cell>
          <cell r="J164">
            <v>23193.150736817908</v>
          </cell>
        </row>
        <row r="165">
          <cell r="A165">
            <v>147</v>
          </cell>
          <cell r="B165">
            <v>44075</v>
          </cell>
          <cell r="C165">
            <v>0</v>
          </cell>
          <cell r="D165">
            <v>1168.9660802002227</v>
          </cell>
          <cell r="E165">
            <v>0</v>
          </cell>
          <cell r="F165">
            <v>0</v>
          </cell>
          <cell r="G165">
            <v>0</v>
          </cell>
          <cell r="H165">
            <v>0</v>
          </cell>
          <cell r="I165">
            <v>0</v>
          </cell>
          <cell r="J165">
            <v>23193.150736817908</v>
          </cell>
        </row>
        <row r="166">
          <cell r="A166">
            <v>148</v>
          </cell>
          <cell r="B166">
            <v>44105</v>
          </cell>
          <cell r="C166">
            <v>0</v>
          </cell>
          <cell r="D166">
            <v>1168.9660802002227</v>
          </cell>
          <cell r="E166">
            <v>0</v>
          </cell>
          <cell r="F166">
            <v>0</v>
          </cell>
          <cell r="G166">
            <v>0</v>
          </cell>
          <cell r="H166">
            <v>0</v>
          </cell>
          <cell r="I166">
            <v>0</v>
          </cell>
          <cell r="J166">
            <v>23193.150736817908</v>
          </cell>
        </row>
        <row r="167">
          <cell r="A167">
            <v>149</v>
          </cell>
          <cell r="B167">
            <v>44136</v>
          </cell>
          <cell r="C167">
            <v>0</v>
          </cell>
          <cell r="D167">
            <v>1168.9660802002227</v>
          </cell>
          <cell r="E167">
            <v>0</v>
          </cell>
          <cell r="F167">
            <v>0</v>
          </cell>
          <cell r="G167">
            <v>0</v>
          </cell>
          <cell r="H167">
            <v>0</v>
          </cell>
          <cell r="I167">
            <v>0</v>
          </cell>
          <cell r="J167">
            <v>23193.150736817908</v>
          </cell>
        </row>
        <row r="168">
          <cell r="A168">
            <v>150</v>
          </cell>
          <cell r="B168">
            <v>44166</v>
          </cell>
          <cell r="C168">
            <v>0</v>
          </cell>
          <cell r="D168">
            <v>1168.9660802002227</v>
          </cell>
          <cell r="E168">
            <v>0</v>
          </cell>
          <cell r="F168">
            <v>0</v>
          </cell>
          <cell r="G168">
            <v>0</v>
          </cell>
          <cell r="H168">
            <v>0</v>
          </cell>
          <cell r="I168">
            <v>0</v>
          </cell>
          <cell r="J168">
            <v>23193.150736817908</v>
          </cell>
        </row>
        <row r="169">
          <cell r="A169">
            <v>151</v>
          </cell>
          <cell r="B169">
            <v>44197</v>
          </cell>
          <cell r="C169">
            <v>0</v>
          </cell>
          <cell r="D169">
            <v>1168.9660802002227</v>
          </cell>
          <cell r="E169">
            <v>0</v>
          </cell>
          <cell r="F169">
            <v>0</v>
          </cell>
          <cell r="G169">
            <v>0</v>
          </cell>
          <cell r="H169">
            <v>0</v>
          </cell>
          <cell r="I169">
            <v>0</v>
          </cell>
          <cell r="J169">
            <v>23193.150736817908</v>
          </cell>
        </row>
        <row r="170">
          <cell r="A170">
            <v>152</v>
          </cell>
          <cell r="B170">
            <v>44228</v>
          </cell>
          <cell r="C170">
            <v>0</v>
          </cell>
          <cell r="D170">
            <v>1168.9660802002227</v>
          </cell>
          <cell r="E170">
            <v>0</v>
          </cell>
          <cell r="F170">
            <v>0</v>
          </cell>
          <cell r="G170">
            <v>0</v>
          </cell>
          <cell r="H170">
            <v>0</v>
          </cell>
          <cell r="I170">
            <v>0</v>
          </cell>
          <cell r="J170">
            <v>23193.150736817908</v>
          </cell>
        </row>
        <row r="171">
          <cell r="A171">
            <v>153</v>
          </cell>
          <cell r="B171">
            <v>44256</v>
          </cell>
          <cell r="C171">
            <v>0</v>
          </cell>
          <cell r="D171">
            <v>1168.9660802002227</v>
          </cell>
          <cell r="E171">
            <v>0</v>
          </cell>
          <cell r="F171">
            <v>0</v>
          </cell>
          <cell r="G171">
            <v>0</v>
          </cell>
          <cell r="H171">
            <v>0</v>
          </cell>
          <cell r="I171">
            <v>0</v>
          </cell>
          <cell r="J171">
            <v>23193.150736817908</v>
          </cell>
        </row>
        <row r="172">
          <cell r="A172">
            <v>154</v>
          </cell>
          <cell r="B172">
            <v>44287</v>
          </cell>
          <cell r="C172">
            <v>0</v>
          </cell>
          <cell r="D172">
            <v>1168.9660802002227</v>
          </cell>
          <cell r="E172">
            <v>0</v>
          </cell>
          <cell r="F172">
            <v>0</v>
          </cell>
          <cell r="G172">
            <v>0</v>
          </cell>
          <cell r="H172">
            <v>0</v>
          </cell>
          <cell r="I172">
            <v>0</v>
          </cell>
          <cell r="J172">
            <v>23193.150736817908</v>
          </cell>
        </row>
        <row r="173">
          <cell r="A173">
            <v>155</v>
          </cell>
          <cell r="B173">
            <v>44317</v>
          </cell>
          <cell r="C173">
            <v>0</v>
          </cell>
          <cell r="D173">
            <v>1168.9660802002227</v>
          </cell>
          <cell r="E173">
            <v>0</v>
          </cell>
          <cell r="F173">
            <v>0</v>
          </cell>
          <cell r="G173">
            <v>0</v>
          </cell>
          <cell r="H173">
            <v>0</v>
          </cell>
          <cell r="I173">
            <v>0</v>
          </cell>
          <cell r="J173">
            <v>23193.150736817908</v>
          </cell>
        </row>
        <row r="174">
          <cell r="A174">
            <v>156</v>
          </cell>
          <cell r="B174">
            <v>44348</v>
          </cell>
          <cell r="C174">
            <v>0</v>
          </cell>
          <cell r="D174">
            <v>1168.9660802002227</v>
          </cell>
          <cell r="E174">
            <v>0</v>
          </cell>
          <cell r="F174">
            <v>0</v>
          </cell>
          <cell r="G174">
            <v>0</v>
          </cell>
          <cell r="H174">
            <v>0</v>
          </cell>
          <cell r="I174">
            <v>0</v>
          </cell>
          <cell r="J174">
            <v>23193.150736817908</v>
          </cell>
        </row>
        <row r="175">
          <cell r="A175">
            <v>157</v>
          </cell>
          <cell r="B175">
            <v>44378</v>
          </cell>
          <cell r="C175">
            <v>0</v>
          </cell>
          <cell r="D175">
            <v>1168.9660802002227</v>
          </cell>
          <cell r="E175">
            <v>0</v>
          </cell>
          <cell r="F175">
            <v>0</v>
          </cell>
          <cell r="G175">
            <v>0</v>
          </cell>
          <cell r="H175">
            <v>0</v>
          </cell>
          <cell r="I175">
            <v>0</v>
          </cell>
          <cell r="J175">
            <v>23193.150736817908</v>
          </cell>
        </row>
        <row r="176">
          <cell r="A176">
            <v>158</v>
          </cell>
          <cell r="B176">
            <v>44409</v>
          </cell>
          <cell r="C176">
            <v>0</v>
          </cell>
          <cell r="D176">
            <v>1168.9660802002227</v>
          </cell>
          <cell r="E176">
            <v>0</v>
          </cell>
          <cell r="F176">
            <v>0</v>
          </cell>
          <cell r="G176">
            <v>0</v>
          </cell>
          <cell r="H176">
            <v>0</v>
          </cell>
          <cell r="I176">
            <v>0</v>
          </cell>
          <cell r="J176">
            <v>23193.150736817908</v>
          </cell>
        </row>
        <row r="177">
          <cell r="A177">
            <v>159</v>
          </cell>
          <cell r="B177">
            <v>44440</v>
          </cell>
          <cell r="C177">
            <v>0</v>
          </cell>
          <cell r="D177">
            <v>1168.9660802002227</v>
          </cell>
          <cell r="E177">
            <v>0</v>
          </cell>
          <cell r="F177">
            <v>0</v>
          </cell>
          <cell r="G177">
            <v>0</v>
          </cell>
          <cell r="H177">
            <v>0</v>
          </cell>
          <cell r="I177">
            <v>0</v>
          </cell>
          <cell r="J177">
            <v>23193.150736817908</v>
          </cell>
        </row>
        <row r="178">
          <cell r="A178">
            <v>160</v>
          </cell>
          <cell r="B178">
            <v>44470</v>
          </cell>
          <cell r="C178">
            <v>0</v>
          </cell>
          <cell r="D178">
            <v>1168.9660802002227</v>
          </cell>
          <cell r="E178">
            <v>0</v>
          </cell>
          <cell r="F178">
            <v>0</v>
          </cell>
          <cell r="G178">
            <v>0</v>
          </cell>
          <cell r="H178">
            <v>0</v>
          </cell>
          <cell r="I178">
            <v>0</v>
          </cell>
          <cell r="J178">
            <v>23193.150736817908</v>
          </cell>
        </row>
        <row r="179">
          <cell r="A179">
            <v>161</v>
          </cell>
          <cell r="B179">
            <v>44501</v>
          </cell>
          <cell r="C179">
            <v>0</v>
          </cell>
          <cell r="D179">
            <v>1168.9660802002227</v>
          </cell>
          <cell r="E179">
            <v>0</v>
          </cell>
          <cell r="F179">
            <v>0</v>
          </cell>
          <cell r="G179">
            <v>0</v>
          </cell>
          <cell r="H179">
            <v>0</v>
          </cell>
          <cell r="I179">
            <v>0</v>
          </cell>
          <cell r="J179">
            <v>23193.150736817908</v>
          </cell>
        </row>
        <row r="180">
          <cell r="A180">
            <v>162</v>
          </cell>
          <cell r="B180">
            <v>44531</v>
          </cell>
          <cell r="C180">
            <v>0</v>
          </cell>
          <cell r="D180">
            <v>1168.9660802002227</v>
          </cell>
          <cell r="E180">
            <v>0</v>
          </cell>
          <cell r="F180">
            <v>0</v>
          </cell>
          <cell r="G180">
            <v>0</v>
          </cell>
          <cell r="H180">
            <v>0</v>
          </cell>
          <cell r="I180">
            <v>0</v>
          </cell>
          <cell r="J180">
            <v>23193.150736817908</v>
          </cell>
        </row>
        <row r="181">
          <cell r="A181">
            <v>163</v>
          </cell>
          <cell r="B181">
            <v>44562</v>
          </cell>
          <cell r="C181">
            <v>0</v>
          </cell>
          <cell r="D181">
            <v>1168.9660802002227</v>
          </cell>
          <cell r="E181">
            <v>0</v>
          </cell>
          <cell r="F181">
            <v>0</v>
          </cell>
          <cell r="G181">
            <v>0</v>
          </cell>
          <cell r="H181">
            <v>0</v>
          </cell>
          <cell r="I181">
            <v>0</v>
          </cell>
          <cell r="J181">
            <v>23193.150736817908</v>
          </cell>
        </row>
        <row r="182">
          <cell r="A182">
            <v>164</v>
          </cell>
          <cell r="B182">
            <v>44593</v>
          </cell>
          <cell r="C182">
            <v>0</v>
          </cell>
          <cell r="D182">
            <v>1168.9660802002227</v>
          </cell>
          <cell r="E182">
            <v>0</v>
          </cell>
          <cell r="F182">
            <v>0</v>
          </cell>
          <cell r="G182">
            <v>0</v>
          </cell>
          <cell r="H182">
            <v>0</v>
          </cell>
          <cell r="I182">
            <v>0</v>
          </cell>
          <cell r="J182">
            <v>23193.150736817908</v>
          </cell>
        </row>
        <row r="183">
          <cell r="A183">
            <v>165</v>
          </cell>
          <cell r="B183">
            <v>44621</v>
          </cell>
          <cell r="C183">
            <v>0</v>
          </cell>
          <cell r="D183">
            <v>1168.9660802002227</v>
          </cell>
          <cell r="E183">
            <v>0</v>
          </cell>
          <cell r="F183">
            <v>0</v>
          </cell>
          <cell r="G183">
            <v>0</v>
          </cell>
          <cell r="H183">
            <v>0</v>
          </cell>
          <cell r="I183">
            <v>0</v>
          </cell>
          <cell r="J183">
            <v>23193.150736817908</v>
          </cell>
        </row>
        <row r="184">
          <cell r="A184">
            <v>166</v>
          </cell>
          <cell r="B184">
            <v>44652</v>
          </cell>
          <cell r="C184">
            <v>0</v>
          </cell>
          <cell r="D184">
            <v>1168.9660802002227</v>
          </cell>
          <cell r="E184">
            <v>0</v>
          </cell>
          <cell r="F184">
            <v>0</v>
          </cell>
          <cell r="G184">
            <v>0</v>
          </cell>
          <cell r="H184">
            <v>0</v>
          </cell>
          <cell r="I184">
            <v>0</v>
          </cell>
          <cell r="J184">
            <v>23193.150736817908</v>
          </cell>
        </row>
        <row r="185">
          <cell r="A185">
            <v>167</v>
          </cell>
          <cell r="B185">
            <v>44682</v>
          </cell>
          <cell r="C185">
            <v>0</v>
          </cell>
          <cell r="D185">
            <v>1168.9660802002227</v>
          </cell>
          <cell r="E185">
            <v>0</v>
          </cell>
          <cell r="F185">
            <v>0</v>
          </cell>
          <cell r="G185">
            <v>0</v>
          </cell>
          <cell r="H185">
            <v>0</v>
          </cell>
          <cell r="I185">
            <v>0</v>
          </cell>
          <cell r="J185">
            <v>23193.150736817908</v>
          </cell>
        </row>
        <row r="186">
          <cell r="A186">
            <v>168</v>
          </cell>
          <cell r="B186">
            <v>44713</v>
          </cell>
          <cell r="C186">
            <v>0</v>
          </cell>
          <cell r="D186">
            <v>1168.9660802002227</v>
          </cell>
          <cell r="E186">
            <v>0</v>
          </cell>
          <cell r="F186">
            <v>0</v>
          </cell>
          <cell r="G186">
            <v>0</v>
          </cell>
          <cell r="H186">
            <v>0</v>
          </cell>
          <cell r="I186">
            <v>0</v>
          </cell>
          <cell r="J186">
            <v>23193.150736817908</v>
          </cell>
        </row>
        <row r="187">
          <cell r="A187">
            <v>169</v>
          </cell>
          <cell r="B187">
            <v>44743</v>
          </cell>
          <cell r="C187">
            <v>0</v>
          </cell>
          <cell r="D187">
            <v>1168.9660802002227</v>
          </cell>
          <cell r="E187">
            <v>0</v>
          </cell>
          <cell r="F187">
            <v>0</v>
          </cell>
          <cell r="G187">
            <v>0</v>
          </cell>
          <cell r="H187">
            <v>0</v>
          </cell>
          <cell r="I187">
            <v>0</v>
          </cell>
          <cell r="J187">
            <v>23193.150736817908</v>
          </cell>
        </row>
        <row r="188">
          <cell r="A188">
            <v>170</v>
          </cell>
          <cell r="B188">
            <v>44774</v>
          </cell>
          <cell r="C188">
            <v>0</v>
          </cell>
          <cell r="D188">
            <v>1168.9660802002227</v>
          </cell>
          <cell r="E188">
            <v>0</v>
          </cell>
          <cell r="F188">
            <v>0</v>
          </cell>
          <cell r="G188">
            <v>0</v>
          </cell>
          <cell r="H188">
            <v>0</v>
          </cell>
          <cell r="I188">
            <v>0</v>
          </cell>
          <cell r="J188">
            <v>23193.150736817908</v>
          </cell>
        </row>
        <row r="189">
          <cell r="A189">
            <v>171</v>
          </cell>
          <cell r="B189">
            <v>44805</v>
          </cell>
          <cell r="C189">
            <v>0</v>
          </cell>
          <cell r="D189">
            <v>1168.9660802002227</v>
          </cell>
          <cell r="E189">
            <v>0</v>
          </cell>
          <cell r="F189">
            <v>0</v>
          </cell>
          <cell r="G189">
            <v>0</v>
          </cell>
          <cell r="H189">
            <v>0</v>
          </cell>
          <cell r="I189">
            <v>0</v>
          </cell>
          <cell r="J189">
            <v>23193.150736817908</v>
          </cell>
        </row>
        <row r="190">
          <cell r="A190">
            <v>172</v>
          </cell>
          <cell r="B190">
            <v>44835</v>
          </cell>
          <cell r="C190">
            <v>0</v>
          </cell>
          <cell r="D190">
            <v>1168.9660802002227</v>
          </cell>
          <cell r="E190">
            <v>0</v>
          </cell>
          <cell r="F190">
            <v>0</v>
          </cell>
          <cell r="G190">
            <v>0</v>
          </cell>
          <cell r="H190">
            <v>0</v>
          </cell>
          <cell r="I190">
            <v>0</v>
          </cell>
          <cell r="J190">
            <v>23193.150736817908</v>
          </cell>
        </row>
        <row r="191">
          <cell r="A191">
            <v>173</v>
          </cell>
          <cell r="B191">
            <v>44866</v>
          </cell>
          <cell r="C191">
            <v>0</v>
          </cell>
          <cell r="D191">
            <v>1168.9660802002227</v>
          </cell>
          <cell r="E191">
            <v>0</v>
          </cell>
          <cell r="F191">
            <v>0</v>
          </cell>
          <cell r="G191">
            <v>0</v>
          </cell>
          <cell r="H191">
            <v>0</v>
          </cell>
          <cell r="I191">
            <v>0</v>
          </cell>
          <cell r="J191">
            <v>23193.150736817908</v>
          </cell>
        </row>
        <row r="192">
          <cell r="A192">
            <v>174</v>
          </cell>
          <cell r="B192">
            <v>44896</v>
          </cell>
          <cell r="C192">
            <v>0</v>
          </cell>
          <cell r="D192">
            <v>1168.9660802002227</v>
          </cell>
          <cell r="E192">
            <v>0</v>
          </cell>
          <cell r="F192">
            <v>0</v>
          </cell>
          <cell r="G192">
            <v>0</v>
          </cell>
          <cell r="H192">
            <v>0</v>
          </cell>
          <cell r="I192">
            <v>0</v>
          </cell>
          <cell r="J192">
            <v>23193.150736817908</v>
          </cell>
        </row>
        <row r="193">
          <cell r="A193">
            <v>175</v>
          </cell>
          <cell r="B193">
            <v>44927</v>
          </cell>
          <cell r="C193">
            <v>0</v>
          </cell>
          <cell r="D193">
            <v>1168.9660802002227</v>
          </cell>
          <cell r="E193">
            <v>0</v>
          </cell>
          <cell r="F193">
            <v>0</v>
          </cell>
          <cell r="G193">
            <v>0</v>
          </cell>
          <cell r="H193">
            <v>0</v>
          </cell>
          <cell r="I193">
            <v>0</v>
          </cell>
          <cell r="J193">
            <v>23193.150736817908</v>
          </cell>
        </row>
        <row r="194">
          <cell r="A194">
            <v>176</v>
          </cell>
          <cell r="B194">
            <v>44958</v>
          </cell>
          <cell r="C194">
            <v>0</v>
          </cell>
          <cell r="D194">
            <v>1168.9660802002227</v>
          </cell>
          <cell r="E194">
            <v>0</v>
          </cell>
          <cell r="F194">
            <v>0</v>
          </cell>
          <cell r="G194">
            <v>0</v>
          </cell>
          <cell r="H194">
            <v>0</v>
          </cell>
          <cell r="I194">
            <v>0</v>
          </cell>
          <cell r="J194">
            <v>23193.150736817908</v>
          </cell>
        </row>
        <row r="195">
          <cell r="A195">
            <v>177</v>
          </cell>
          <cell r="B195">
            <v>44986</v>
          </cell>
          <cell r="C195">
            <v>0</v>
          </cell>
          <cell r="D195">
            <v>1168.9660802002227</v>
          </cell>
          <cell r="E195">
            <v>0</v>
          </cell>
          <cell r="F195">
            <v>0</v>
          </cell>
          <cell r="G195">
            <v>0</v>
          </cell>
          <cell r="H195">
            <v>0</v>
          </cell>
          <cell r="I195">
            <v>0</v>
          </cell>
          <cell r="J195">
            <v>23193.150736817908</v>
          </cell>
        </row>
        <row r="196">
          <cell r="A196">
            <v>178</v>
          </cell>
          <cell r="B196">
            <v>45017</v>
          </cell>
          <cell r="C196">
            <v>0</v>
          </cell>
          <cell r="D196">
            <v>1168.9660802002227</v>
          </cell>
          <cell r="E196">
            <v>0</v>
          </cell>
          <cell r="F196">
            <v>0</v>
          </cell>
          <cell r="G196">
            <v>0</v>
          </cell>
          <cell r="H196">
            <v>0</v>
          </cell>
          <cell r="I196">
            <v>0</v>
          </cell>
          <cell r="J196">
            <v>23193.150736817908</v>
          </cell>
        </row>
        <row r="197">
          <cell r="A197">
            <v>179</v>
          </cell>
          <cell r="B197">
            <v>45047</v>
          </cell>
          <cell r="C197">
            <v>0</v>
          </cell>
          <cell r="D197">
            <v>1168.9660802002227</v>
          </cell>
          <cell r="E197">
            <v>0</v>
          </cell>
          <cell r="F197">
            <v>0</v>
          </cell>
          <cell r="G197">
            <v>0</v>
          </cell>
          <cell r="H197">
            <v>0</v>
          </cell>
          <cell r="I197">
            <v>0</v>
          </cell>
          <cell r="J197">
            <v>23193.150736817908</v>
          </cell>
        </row>
        <row r="198">
          <cell r="A198">
            <v>180</v>
          </cell>
          <cell r="B198">
            <v>45078</v>
          </cell>
          <cell r="C198">
            <v>0</v>
          </cell>
          <cell r="D198">
            <v>1168.9660802002227</v>
          </cell>
          <cell r="E198">
            <v>0</v>
          </cell>
          <cell r="F198">
            <v>0</v>
          </cell>
          <cell r="G198">
            <v>0</v>
          </cell>
          <cell r="H198">
            <v>0</v>
          </cell>
          <cell r="I198">
            <v>0</v>
          </cell>
          <cell r="J198">
            <v>23193.150736817908</v>
          </cell>
        </row>
        <row r="199">
          <cell r="A199">
            <v>181</v>
          </cell>
          <cell r="B199">
            <v>45108</v>
          </cell>
          <cell r="C199">
            <v>0</v>
          </cell>
          <cell r="D199">
            <v>1168.9660802002227</v>
          </cell>
          <cell r="E199">
            <v>0</v>
          </cell>
          <cell r="F199">
            <v>0</v>
          </cell>
          <cell r="G199">
            <v>0</v>
          </cell>
          <cell r="H199">
            <v>0</v>
          </cell>
          <cell r="I199">
            <v>0</v>
          </cell>
          <cell r="J199">
            <v>23193.150736817908</v>
          </cell>
        </row>
        <row r="200">
          <cell r="A200">
            <v>182</v>
          </cell>
          <cell r="B200">
            <v>45139</v>
          </cell>
          <cell r="C200">
            <v>0</v>
          </cell>
          <cell r="D200">
            <v>1168.9660802002227</v>
          </cell>
          <cell r="E200">
            <v>0</v>
          </cell>
          <cell r="F200">
            <v>0</v>
          </cell>
          <cell r="G200">
            <v>0</v>
          </cell>
          <cell r="H200">
            <v>0</v>
          </cell>
          <cell r="I200">
            <v>0</v>
          </cell>
          <cell r="J200">
            <v>23193.150736817908</v>
          </cell>
        </row>
        <row r="201">
          <cell r="A201">
            <v>183</v>
          </cell>
          <cell r="B201">
            <v>45170</v>
          </cell>
          <cell r="C201">
            <v>0</v>
          </cell>
          <cell r="D201">
            <v>1168.9660802002227</v>
          </cell>
          <cell r="E201">
            <v>0</v>
          </cell>
          <cell r="F201">
            <v>0</v>
          </cell>
          <cell r="G201">
            <v>0</v>
          </cell>
          <cell r="H201">
            <v>0</v>
          </cell>
          <cell r="I201">
            <v>0</v>
          </cell>
          <cell r="J201">
            <v>23193.150736817908</v>
          </cell>
        </row>
        <row r="202">
          <cell r="A202">
            <v>184</v>
          </cell>
          <cell r="B202">
            <v>45200</v>
          </cell>
          <cell r="C202">
            <v>0</v>
          </cell>
          <cell r="D202">
            <v>1168.9660802002227</v>
          </cell>
          <cell r="E202">
            <v>0</v>
          </cell>
          <cell r="F202">
            <v>0</v>
          </cell>
          <cell r="G202">
            <v>0</v>
          </cell>
          <cell r="H202">
            <v>0</v>
          </cell>
          <cell r="I202">
            <v>0</v>
          </cell>
          <cell r="J202">
            <v>23193.150736817908</v>
          </cell>
        </row>
        <row r="203">
          <cell r="A203">
            <v>185</v>
          </cell>
          <cell r="B203">
            <v>45231</v>
          </cell>
          <cell r="C203">
            <v>0</v>
          </cell>
          <cell r="D203">
            <v>1168.9660802002227</v>
          </cell>
          <cell r="E203">
            <v>0</v>
          </cell>
          <cell r="F203">
            <v>0</v>
          </cell>
          <cell r="G203">
            <v>0</v>
          </cell>
          <cell r="H203">
            <v>0</v>
          </cell>
          <cell r="I203">
            <v>0</v>
          </cell>
          <cell r="J203">
            <v>23193.150736817908</v>
          </cell>
        </row>
        <row r="204">
          <cell r="A204">
            <v>186</v>
          </cell>
          <cell r="B204">
            <v>45261</v>
          </cell>
          <cell r="C204">
            <v>0</v>
          </cell>
          <cell r="D204">
            <v>1168.9660802002227</v>
          </cell>
          <cell r="E204">
            <v>0</v>
          </cell>
          <cell r="F204">
            <v>0</v>
          </cell>
          <cell r="G204">
            <v>0</v>
          </cell>
          <cell r="H204">
            <v>0</v>
          </cell>
          <cell r="I204">
            <v>0</v>
          </cell>
          <cell r="J204">
            <v>23193.150736817908</v>
          </cell>
        </row>
        <row r="205">
          <cell r="A205">
            <v>187</v>
          </cell>
          <cell r="B205">
            <v>45292</v>
          </cell>
          <cell r="C205">
            <v>0</v>
          </cell>
          <cell r="D205">
            <v>1168.9660802002227</v>
          </cell>
          <cell r="E205">
            <v>0</v>
          </cell>
          <cell r="F205">
            <v>0</v>
          </cell>
          <cell r="G205">
            <v>0</v>
          </cell>
          <cell r="H205">
            <v>0</v>
          </cell>
          <cell r="I205">
            <v>0</v>
          </cell>
          <cell r="J205">
            <v>23193.150736817908</v>
          </cell>
        </row>
        <row r="206">
          <cell r="A206">
            <v>188</v>
          </cell>
          <cell r="B206">
            <v>45323</v>
          </cell>
          <cell r="C206">
            <v>0</v>
          </cell>
          <cell r="D206">
            <v>1168.9660802002227</v>
          </cell>
          <cell r="E206">
            <v>0</v>
          </cell>
          <cell r="F206">
            <v>0</v>
          </cell>
          <cell r="G206">
            <v>0</v>
          </cell>
          <cell r="H206">
            <v>0</v>
          </cell>
          <cell r="I206">
            <v>0</v>
          </cell>
          <cell r="J206">
            <v>23193.150736817908</v>
          </cell>
        </row>
        <row r="207">
          <cell r="A207">
            <v>189</v>
          </cell>
          <cell r="B207">
            <v>45352</v>
          </cell>
          <cell r="C207">
            <v>0</v>
          </cell>
          <cell r="D207">
            <v>1168.9660802002227</v>
          </cell>
          <cell r="E207">
            <v>0</v>
          </cell>
          <cell r="F207">
            <v>0</v>
          </cell>
          <cell r="G207">
            <v>0</v>
          </cell>
          <cell r="H207">
            <v>0</v>
          </cell>
          <cell r="I207">
            <v>0</v>
          </cell>
          <cell r="J207">
            <v>23193.150736817908</v>
          </cell>
        </row>
        <row r="208">
          <cell r="A208">
            <v>190</v>
          </cell>
          <cell r="B208">
            <v>45383</v>
          </cell>
          <cell r="C208">
            <v>0</v>
          </cell>
          <cell r="D208">
            <v>1168.9660802002227</v>
          </cell>
          <cell r="E208">
            <v>0</v>
          </cell>
          <cell r="F208">
            <v>0</v>
          </cell>
          <cell r="G208">
            <v>0</v>
          </cell>
          <cell r="H208">
            <v>0</v>
          </cell>
          <cell r="I208">
            <v>0</v>
          </cell>
          <cell r="J208">
            <v>23193.150736817908</v>
          </cell>
        </row>
        <row r="209">
          <cell r="A209">
            <v>191</v>
          </cell>
          <cell r="B209">
            <v>45413</v>
          </cell>
          <cell r="C209">
            <v>0</v>
          </cell>
          <cell r="D209">
            <v>1168.9660802002227</v>
          </cell>
          <cell r="E209">
            <v>0</v>
          </cell>
          <cell r="F209">
            <v>0</v>
          </cell>
          <cell r="G209">
            <v>0</v>
          </cell>
          <cell r="H209">
            <v>0</v>
          </cell>
          <cell r="I209">
            <v>0</v>
          </cell>
          <cell r="J209">
            <v>23193.150736817908</v>
          </cell>
        </row>
        <row r="210">
          <cell r="A210">
            <v>192</v>
          </cell>
          <cell r="B210">
            <v>45444</v>
          </cell>
          <cell r="C210">
            <v>0</v>
          </cell>
          <cell r="D210">
            <v>1168.9660802002227</v>
          </cell>
          <cell r="E210">
            <v>0</v>
          </cell>
          <cell r="F210">
            <v>0</v>
          </cell>
          <cell r="G210">
            <v>0</v>
          </cell>
          <cell r="H210">
            <v>0</v>
          </cell>
          <cell r="I210">
            <v>0</v>
          </cell>
          <cell r="J210">
            <v>23193.150736817908</v>
          </cell>
        </row>
        <row r="211">
          <cell r="A211">
            <v>193</v>
          </cell>
          <cell r="B211">
            <v>45474</v>
          </cell>
          <cell r="C211">
            <v>0</v>
          </cell>
          <cell r="D211">
            <v>1168.9660802002227</v>
          </cell>
          <cell r="E211">
            <v>0</v>
          </cell>
          <cell r="F211">
            <v>0</v>
          </cell>
          <cell r="G211">
            <v>0</v>
          </cell>
          <cell r="H211">
            <v>0</v>
          </cell>
          <cell r="I211">
            <v>0</v>
          </cell>
          <cell r="J211">
            <v>23193.150736817908</v>
          </cell>
        </row>
        <row r="212">
          <cell r="A212">
            <v>194</v>
          </cell>
          <cell r="B212">
            <v>45505</v>
          </cell>
          <cell r="C212">
            <v>0</v>
          </cell>
          <cell r="D212">
            <v>1168.9660802002227</v>
          </cell>
          <cell r="E212">
            <v>0</v>
          </cell>
          <cell r="F212">
            <v>0</v>
          </cell>
          <cell r="G212">
            <v>0</v>
          </cell>
          <cell r="H212">
            <v>0</v>
          </cell>
          <cell r="I212">
            <v>0</v>
          </cell>
          <cell r="J212">
            <v>23193.150736817908</v>
          </cell>
        </row>
        <row r="213">
          <cell r="A213">
            <v>195</v>
          </cell>
          <cell r="B213">
            <v>45536</v>
          </cell>
          <cell r="C213">
            <v>0</v>
          </cell>
          <cell r="D213">
            <v>1168.9660802002227</v>
          </cell>
          <cell r="E213">
            <v>0</v>
          </cell>
          <cell r="F213">
            <v>0</v>
          </cell>
          <cell r="G213">
            <v>0</v>
          </cell>
          <cell r="H213">
            <v>0</v>
          </cell>
          <cell r="I213">
            <v>0</v>
          </cell>
          <cell r="J213">
            <v>23193.150736817908</v>
          </cell>
        </row>
        <row r="214">
          <cell r="A214">
            <v>196</v>
          </cell>
          <cell r="B214">
            <v>45566</v>
          </cell>
          <cell r="C214">
            <v>0</v>
          </cell>
          <cell r="D214">
            <v>1168.9660802002227</v>
          </cell>
          <cell r="E214">
            <v>0</v>
          </cell>
          <cell r="F214">
            <v>0</v>
          </cell>
          <cell r="G214">
            <v>0</v>
          </cell>
          <cell r="H214">
            <v>0</v>
          </cell>
          <cell r="I214">
            <v>0</v>
          </cell>
          <cell r="J214">
            <v>23193.150736817908</v>
          </cell>
        </row>
        <row r="215">
          <cell r="A215">
            <v>197</v>
          </cell>
          <cell r="B215">
            <v>45597</v>
          </cell>
          <cell r="C215">
            <v>0</v>
          </cell>
          <cell r="D215">
            <v>1168.9660802002227</v>
          </cell>
          <cell r="E215">
            <v>0</v>
          </cell>
          <cell r="F215">
            <v>0</v>
          </cell>
          <cell r="G215">
            <v>0</v>
          </cell>
          <cell r="H215">
            <v>0</v>
          </cell>
          <cell r="I215">
            <v>0</v>
          </cell>
          <cell r="J215">
            <v>23193.150736817908</v>
          </cell>
        </row>
        <row r="216">
          <cell r="A216">
            <v>198</v>
          </cell>
          <cell r="B216">
            <v>45627</v>
          </cell>
          <cell r="C216">
            <v>0</v>
          </cell>
          <cell r="D216">
            <v>1168.9660802002227</v>
          </cell>
          <cell r="E216">
            <v>0</v>
          </cell>
          <cell r="F216">
            <v>0</v>
          </cell>
          <cell r="G216">
            <v>0</v>
          </cell>
          <cell r="H216">
            <v>0</v>
          </cell>
          <cell r="I216">
            <v>0</v>
          </cell>
          <cell r="J216">
            <v>23193.150736817908</v>
          </cell>
        </row>
        <row r="217">
          <cell r="A217">
            <v>199</v>
          </cell>
          <cell r="B217">
            <v>45658</v>
          </cell>
          <cell r="C217">
            <v>0</v>
          </cell>
          <cell r="D217">
            <v>1168.9660802002227</v>
          </cell>
          <cell r="E217">
            <v>0</v>
          </cell>
          <cell r="F217">
            <v>0</v>
          </cell>
          <cell r="G217">
            <v>0</v>
          </cell>
          <cell r="H217">
            <v>0</v>
          </cell>
          <cell r="I217">
            <v>0</v>
          </cell>
          <cell r="J217">
            <v>23193.150736817908</v>
          </cell>
        </row>
        <row r="218">
          <cell r="A218">
            <v>200</v>
          </cell>
          <cell r="B218">
            <v>45689</v>
          </cell>
          <cell r="C218">
            <v>0</v>
          </cell>
          <cell r="D218">
            <v>1168.9660802002227</v>
          </cell>
          <cell r="E218">
            <v>0</v>
          </cell>
          <cell r="F218">
            <v>0</v>
          </cell>
          <cell r="G218">
            <v>0</v>
          </cell>
          <cell r="H218">
            <v>0</v>
          </cell>
          <cell r="I218">
            <v>0</v>
          </cell>
          <cell r="J218">
            <v>23193.150736817908</v>
          </cell>
        </row>
        <row r="219">
          <cell r="A219">
            <v>201</v>
          </cell>
          <cell r="B219">
            <v>45717</v>
          </cell>
          <cell r="C219">
            <v>0</v>
          </cell>
          <cell r="D219">
            <v>1168.9660802002227</v>
          </cell>
          <cell r="E219">
            <v>0</v>
          </cell>
          <cell r="F219">
            <v>0</v>
          </cell>
          <cell r="G219">
            <v>0</v>
          </cell>
          <cell r="H219">
            <v>0</v>
          </cell>
          <cell r="I219">
            <v>0</v>
          </cell>
          <cell r="J219">
            <v>23193.150736817908</v>
          </cell>
        </row>
        <row r="220">
          <cell r="A220">
            <v>202</v>
          </cell>
          <cell r="B220">
            <v>45748</v>
          </cell>
          <cell r="C220">
            <v>0</v>
          </cell>
          <cell r="D220">
            <v>1168.9660802002227</v>
          </cell>
          <cell r="E220">
            <v>0</v>
          </cell>
          <cell r="F220">
            <v>0</v>
          </cell>
          <cell r="G220">
            <v>0</v>
          </cell>
          <cell r="H220">
            <v>0</v>
          </cell>
          <cell r="I220">
            <v>0</v>
          </cell>
          <cell r="J220">
            <v>23193.150736817908</v>
          </cell>
        </row>
        <row r="221">
          <cell r="A221">
            <v>203</v>
          </cell>
          <cell r="B221">
            <v>45778</v>
          </cell>
          <cell r="C221">
            <v>0</v>
          </cell>
          <cell r="D221">
            <v>1168.9660802002227</v>
          </cell>
          <cell r="E221">
            <v>0</v>
          </cell>
          <cell r="F221">
            <v>0</v>
          </cell>
          <cell r="G221">
            <v>0</v>
          </cell>
          <cell r="H221">
            <v>0</v>
          </cell>
          <cell r="I221">
            <v>0</v>
          </cell>
          <cell r="J221">
            <v>23193.150736817908</v>
          </cell>
        </row>
        <row r="222">
          <cell r="A222">
            <v>204</v>
          </cell>
          <cell r="B222">
            <v>45809</v>
          </cell>
          <cell r="C222">
            <v>0</v>
          </cell>
          <cell r="D222">
            <v>1168.9660802002227</v>
          </cell>
          <cell r="E222">
            <v>0</v>
          </cell>
          <cell r="F222">
            <v>0</v>
          </cell>
          <cell r="G222">
            <v>0</v>
          </cell>
          <cell r="H222">
            <v>0</v>
          </cell>
          <cell r="I222">
            <v>0</v>
          </cell>
          <cell r="J222">
            <v>23193.150736817908</v>
          </cell>
        </row>
        <row r="223">
          <cell r="A223">
            <v>205</v>
          </cell>
          <cell r="B223">
            <v>45839</v>
          </cell>
          <cell r="C223">
            <v>0</v>
          </cell>
          <cell r="D223">
            <v>1168.9660802002227</v>
          </cell>
          <cell r="E223">
            <v>0</v>
          </cell>
          <cell r="F223">
            <v>0</v>
          </cell>
          <cell r="G223">
            <v>0</v>
          </cell>
          <cell r="H223">
            <v>0</v>
          </cell>
          <cell r="I223">
            <v>0</v>
          </cell>
          <cell r="J223">
            <v>23193.150736817908</v>
          </cell>
        </row>
        <row r="224">
          <cell r="A224">
            <v>206</v>
          </cell>
          <cell r="B224">
            <v>45870</v>
          </cell>
          <cell r="C224">
            <v>0</v>
          </cell>
          <cell r="D224">
            <v>1168.9660802002227</v>
          </cell>
          <cell r="E224">
            <v>0</v>
          </cell>
          <cell r="F224">
            <v>0</v>
          </cell>
          <cell r="G224">
            <v>0</v>
          </cell>
          <cell r="H224">
            <v>0</v>
          </cell>
          <cell r="I224">
            <v>0</v>
          </cell>
          <cell r="J224">
            <v>23193.150736817908</v>
          </cell>
        </row>
        <row r="225">
          <cell r="A225">
            <v>207</v>
          </cell>
          <cell r="B225">
            <v>45901</v>
          </cell>
          <cell r="C225">
            <v>0</v>
          </cell>
          <cell r="D225">
            <v>1168.9660802002227</v>
          </cell>
          <cell r="E225">
            <v>0</v>
          </cell>
          <cell r="F225">
            <v>0</v>
          </cell>
          <cell r="G225">
            <v>0</v>
          </cell>
          <cell r="H225">
            <v>0</v>
          </cell>
          <cell r="I225">
            <v>0</v>
          </cell>
          <cell r="J225">
            <v>23193.150736817908</v>
          </cell>
        </row>
        <row r="226">
          <cell r="A226">
            <v>208</v>
          </cell>
          <cell r="B226">
            <v>45931</v>
          </cell>
          <cell r="C226">
            <v>0</v>
          </cell>
          <cell r="D226">
            <v>1168.9660802002227</v>
          </cell>
          <cell r="E226">
            <v>0</v>
          </cell>
          <cell r="F226">
            <v>0</v>
          </cell>
          <cell r="G226">
            <v>0</v>
          </cell>
          <cell r="H226">
            <v>0</v>
          </cell>
          <cell r="I226">
            <v>0</v>
          </cell>
          <cell r="J226">
            <v>23193.150736817908</v>
          </cell>
        </row>
        <row r="227">
          <cell r="A227">
            <v>209</v>
          </cell>
          <cell r="B227">
            <v>45962</v>
          </cell>
          <cell r="C227">
            <v>0</v>
          </cell>
          <cell r="D227">
            <v>1168.9660802002227</v>
          </cell>
          <cell r="E227">
            <v>0</v>
          </cell>
          <cell r="F227">
            <v>0</v>
          </cell>
          <cell r="G227">
            <v>0</v>
          </cell>
          <cell r="H227">
            <v>0</v>
          </cell>
          <cell r="I227">
            <v>0</v>
          </cell>
          <cell r="J227">
            <v>23193.150736817908</v>
          </cell>
        </row>
        <row r="228">
          <cell r="A228">
            <v>210</v>
          </cell>
          <cell r="B228">
            <v>45992</v>
          </cell>
          <cell r="C228">
            <v>0</v>
          </cell>
          <cell r="D228">
            <v>1168.9660802002227</v>
          </cell>
          <cell r="E228">
            <v>0</v>
          </cell>
          <cell r="F228">
            <v>0</v>
          </cell>
          <cell r="G228">
            <v>0</v>
          </cell>
          <cell r="H228">
            <v>0</v>
          </cell>
          <cell r="I228">
            <v>0</v>
          </cell>
          <cell r="J228">
            <v>23193.150736817908</v>
          </cell>
        </row>
        <row r="229">
          <cell r="A229">
            <v>211</v>
          </cell>
          <cell r="B229">
            <v>46023</v>
          </cell>
          <cell r="C229">
            <v>0</v>
          </cell>
          <cell r="D229">
            <v>1168.9660802002227</v>
          </cell>
          <cell r="E229">
            <v>0</v>
          </cell>
          <cell r="F229">
            <v>0</v>
          </cell>
          <cell r="G229">
            <v>0</v>
          </cell>
          <cell r="H229">
            <v>0</v>
          </cell>
          <cell r="I229">
            <v>0</v>
          </cell>
          <cell r="J229">
            <v>23193.150736817908</v>
          </cell>
        </row>
        <row r="230">
          <cell r="A230">
            <v>212</v>
          </cell>
          <cell r="B230">
            <v>46054</v>
          </cell>
          <cell r="C230">
            <v>0</v>
          </cell>
          <cell r="D230">
            <v>1168.9660802002227</v>
          </cell>
          <cell r="E230">
            <v>0</v>
          </cell>
          <cell r="F230">
            <v>0</v>
          </cell>
          <cell r="G230">
            <v>0</v>
          </cell>
          <cell r="H230">
            <v>0</v>
          </cell>
          <cell r="I230">
            <v>0</v>
          </cell>
          <cell r="J230">
            <v>23193.150736817908</v>
          </cell>
        </row>
        <row r="231">
          <cell r="A231">
            <v>213</v>
          </cell>
          <cell r="B231">
            <v>46082</v>
          </cell>
          <cell r="C231">
            <v>0</v>
          </cell>
          <cell r="D231">
            <v>1168.9660802002227</v>
          </cell>
          <cell r="E231">
            <v>0</v>
          </cell>
          <cell r="F231">
            <v>0</v>
          </cell>
          <cell r="G231">
            <v>0</v>
          </cell>
          <cell r="H231">
            <v>0</v>
          </cell>
          <cell r="I231">
            <v>0</v>
          </cell>
          <cell r="J231">
            <v>23193.150736817908</v>
          </cell>
        </row>
        <row r="232">
          <cell r="A232">
            <v>214</v>
          </cell>
          <cell r="B232">
            <v>46113</v>
          </cell>
          <cell r="C232">
            <v>0</v>
          </cell>
          <cell r="D232">
            <v>1168.9660802002227</v>
          </cell>
          <cell r="E232">
            <v>0</v>
          </cell>
          <cell r="F232">
            <v>0</v>
          </cell>
          <cell r="G232">
            <v>0</v>
          </cell>
          <cell r="H232">
            <v>0</v>
          </cell>
          <cell r="I232">
            <v>0</v>
          </cell>
          <cell r="J232">
            <v>23193.150736817908</v>
          </cell>
        </row>
        <row r="233">
          <cell r="A233">
            <v>215</v>
          </cell>
          <cell r="B233">
            <v>46143</v>
          </cell>
          <cell r="C233">
            <v>0</v>
          </cell>
          <cell r="D233">
            <v>1168.9660802002227</v>
          </cell>
          <cell r="E233">
            <v>0</v>
          </cell>
          <cell r="F233">
            <v>0</v>
          </cell>
          <cell r="G233">
            <v>0</v>
          </cell>
          <cell r="H233">
            <v>0</v>
          </cell>
          <cell r="I233">
            <v>0</v>
          </cell>
          <cell r="J233">
            <v>23193.150736817908</v>
          </cell>
        </row>
        <row r="234">
          <cell r="A234">
            <v>216</v>
          </cell>
          <cell r="B234">
            <v>46174</v>
          </cell>
          <cell r="C234">
            <v>0</v>
          </cell>
          <cell r="D234">
            <v>1168.9660802002227</v>
          </cell>
          <cell r="E234">
            <v>0</v>
          </cell>
          <cell r="F234">
            <v>0</v>
          </cell>
          <cell r="G234">
            <v>0</v>
          </cell>
          <cell r="H234">
            <v>0</v>
          </cell>
          <cell r="I234">
            <v>0</v>
          </cell>
          <cell r="J234">
            <v>23193.150736817908</v>
          </cell>
        </row>
        <row r="235">
          <cell r="A235">
            <v>217</v>
          </cell>
          <cell r="B235">
            <v>46204</v>
          </cell>
          <cell r="C235">
            <v>0</v>
          </cell>
          <cell r="D235">
            <v>1168.9660802002227</v>
          </cell>
          <cell r="E235">
            <v>0</v>
          </cell>
          <cell r="F235">
            <v>0</v>
          </cell>
          <cell r="G235">
            <v>0</v>
          </cell>
          <cell r="H235">
            <v>0</v>
          </cell>
          <cell r="I235">
            <v>0</v>
          </cell>
          <cell r="J235">
            <v>23193.150736817908</v>
          </cell>
        </row>
        <row r="236">
          <cell r="A236">
            <v>218</v>
          </cell>
          <cell r="B236">
            <v>46235</v>
          </cell>
          <cell r="C236">
            <v>0</v>
          </cell>
          <cell r="D236">
            <v>1168.9660802002227</v>
          </cell>
          <cell r="E236">
            <v>0</v>
          </cell>
          <cell r="F236">
            <v>0</v>
          </cell>
          <cell r="G236">
            <v>0</v>
          </cell>
          <cell r="H236">
            <v>0</v>
          </cell>
          <cell r="I236">
            <v>0</v>
          </cell>
          <cell r="J236">
            <v>23193.150736817908</v>
          </cell>
        </row>
        <row r="237">
          <cell r="A237">
            <v>219</v>
          </cell>
          <cell r="B237">
            <v>46266</v>
          </cell>
          <cell r="C237">
            <v>0</v>
          </cell>
          <cell r="D237">
            <v>1168.9660802002227</v>
          </cell>
          <cell r="E237">
            <v>0</v>
          </cell>
          <cell r="F237">
            <v>0</v>
          </cell>
          <cell r="G237">
            <v>0</v>
          </cell>
          <cell r="H237">
            <v>0</v>
          </cell>
          <cell r="I237">
            <v>0</v>
          </cell>
          <cell r="J237">
            <v>23193.150736817908</v>
          </cell>
        </row>
        <row r="238">
          <cell r="A238">
            <v>220</v>
          </cell>
          <cell r="B238">
            <v>46296</v>
          </cell>
          <cell r="C238">
            <v>0</v>
          </cell>
          <cell r="D238">
            <v>1168.9660802002227</v>
          </cell>
          <cell r="E238">
            <v>0</v>
          </cell>
          <cell r="F238">
            <v>0</v>
          </cell>
          <cell r="G238">
            <v>0</v>
          </cell>
          <cell r="H238">
            <v>0</v>
          </cell>
          <cell r="I238">
            <v>0</v>
          </cell>
          <cell r="J238">
            <v>23193.150736817908</v>
          </cell>
        </row>
        <row r="239">
          <cell r="A239">
            <v>221</v>
          </cell>
          <cell r="B239">
            <v>46327</v>
          </cell>
          <cell r="C239">
            <v>0</v>
          </cell>
          <cell r="D239">
            <v>1168.9660802002227</v>
          </cell>
          <cell r="E239">
            <v>0</v>
          </cell>
          <cell r="F239">
            <v>0</v>
          </cell>
          <cell r="G239">
            <v>0</v>
          </cell>
          <cell r="H239">
            <v>0</v>
          </cell>
          <cell r="I239">
            <v>0</v>
          </cell>
          <cell r="J239">
            <v>23193.150736817908</v>
          </cell>
        </row>
        <row r="240">
          <cell r="A240">
            <v>222</v>
          </cell>
          <cell r="B240">
            <v>46357</v>
          </cell>
          <cell r="C240">
            <v>0</v>
          </cell>
          <cell r="D240">
            <v>1168.9660802002227</v>
          </cell>
          <cell r="E240">
            <v>0</v>
          </cell>
          <cell r="F240">
            <v>0</v>
          </cell>
          <cell r="G240">
            <v>0</v>
          </cell>
          <cell r="H240">
            <v>0</v>
          </cell>
          <cell r="I240">
            <v>0</v>
          </cell>
          <cell r="J240">
            <v>23193.150736817908</v>
          </cell>
        </row>
        <row r="241">
          <cell r="A241">
            <v>223</v>
          </cell>
          <cell r="B241">
            <v>46388</v>
          </cell>
          <cell r="C241">
            <v>0</v>
          </cell>
          <cell r="D241">
            <v>1168.9660802002227</v>
          </cell>
          <cell r="E241">
            <v>0</v>
          </cell>
          <cell r="F241">
            <v>0</v>
          </cell>
          <cell r="G241">
            <v>0</v>
          </cell>
          <cell r="H241">
            <v>0</v>
          </cell>
          <cell r="I241">
            <v>0</v>
          </cell>
          <cell r="J241">
            <v>23193.150736817908</v>
          </cell>
        </row>
        <row r="242">
          <cell r="A242">
            <v>224</v>
          </cell>
          <cell r="B242">
            <v>46419</v>
          </cell>
          <cell r="C242">
            <v>0</v>
          </cell>
          <cell r="D242">
            <v>1168.9660802002227</v>
          </cell>
          <cell r="E242">
            <v>0</v>
          </cell>
          <cell r="F242">
            <v>0</v>
          </cell>
          <cell r="G242">
            <v>0</v>
          </cell>
          <cell r="H242">
            <v>0</v>
          </cell>
          <cell r="I242">
            <v>0</v>
          </cell>
          <cell r="J242">
            <v>23193.150736817908</v>
          </cell>
        </row>
        <row r="243">
          <cell r="A243">
            <v>225</v>
          </cell>
          <cell r="B243">
            <v>46447</v>
          </cell>
          <cell r="C243">
            <v>0</v>
          </cell>
          <cell r="D243">
            <v>1168.9660802002227</v>
          </cell>
          <cell r="E243">
            <v>0</v>
          </cell>
          <cell r="F243">
            <v>0</v>
          </cell>
          <cell r="G243">
            <v>0</v>
          </cell>
          <cell r="H243">
            <v>0</v>
          </cell>
          <cell r="I243">
            <v>0</v>
          </cell>
          <cell r="J243">
            <v>23193.150736817908</v>
          </cell>
        </row>
        <row r="244">
          <cell r="A244">
            <v>226</v>
          </cell>
          <cell r="B244">
            <v>46478</v>
          </cell>
          <cell r="C244">
            <v>0</v>
          </cell>
          <cell r="D244">
            <v>1168.9660802002227</v>
          </cell>
          <cell r="E244">
            <v>0</v>
          </cell>
          <cell r="F244">
            <v>0</v>
          </cell>
          <cell r="G244">
            <v>0</v>
          </cell>
          <cell r="H244">
            <v>0</v>
          </cell>
          <cell r="I244">
            <v>0</v>
          </cell>
          <cell r="J244">
            <v>23193.150736817908</v>
          </cell>
        </row>
        <row r="245">
          <cell r="A245">
            <v>227</v>
          </cell>
          <cell r="B245">
            <v>46508</v>
          </cell>
          <cell r="C245">
            <v>0</v>
          </cell>
          <cell r="D245">
            <v>1168.9660802002227</v>
          </cell>
          <cell r="E245">
            <v>0</v>
          </cell>
          <cell r="F245">
            <v>0</v>
          </cell>
          <cell r="G245">
            <v>0</v>
          </cell>
          <cell r="H245">
            <v>0</v>
          </cell>
          <cell r="I245">
            <v>0</v>
          </cell>
          <cell r="J245">
            <v>23193.150736817908</v>
          </cell>
        </row>
        <row r="246">
          <cell r="A246">
            <v>228</v>
          </cell>
          <cell r="B246">
            <v>46539</v>
          </cell>
          <cell r="C246">
            <v>0</v>
          </cell>
          <cell r="D246">
            <v>1168.9660802002227</v>
          </cell>
          <cell r="E246">
            <v>0</v>
          </cell>
          <cell r="F246">
            <v>0</v>
          </cell>
          <cell r="G246">
            <v>0</v>
          </cell>
          <cell r="H246">
            <v>0</v>
          </cell>
          <cell r="I246">
            <v>0</v>
          </cell>
          <cell r="J246">
            <v>23193.150736817908</v>
          </cell>
        </row>
        <row r="247">
          <cell r="A247">
            <v>229</v>
          </cell>
          <cell r="B247">
            <v>46569</v>
          </cell>
          <cell r="C247">
            <v>0</v>
          </cell>
          <cell r="D247">
            <v>1168.9660802002227</v>
          </cell>
          <cell r="E247">
            <v>0</v>
          </cell>
          <cell r="F247">
            <v>0</v>
          </cell>
          <cell r="G247">
            <v>0</v>
          </cell>
          <cell r="H247">
            <v>0</v>
          </cell>
          <cell r="I247">
            <v>0</v>
          </cell>
          <cell r="J247">
            <v>23193.150736817908</v>
          </cell>
        </row>
        <row r="248">
          <cell r="A248">
            <v>230</v>
          </cell>
          <cell r="B248">
            <v>46600</v>
          </cell>
          <cell r="C248">
            <v>0</v>
          </cell>
          <cell r="D248">
            <v>1168.9660802002227</v>
          </cell>
          <cell r="E248">
            <v>0</v>
          </cell>
          <cell r="F248">
            <v>0</v>
          </cell>
          <cell r="G248">
            <v>0</v>
          </cell>
          <cell r="H248">
            <v>0</v>
          </cell>
          <cell r="I248">
            <v>0</v>
          </cell>
          <cell r="J248">
            <v>23193.150736817908</v>
          </cell>
        </row>
        <row r="249">
          <cell r="A249">
            <v>231</v>
          </cell>
          <cell r="B249">
            <v>46631</v>
          </cell>
          <cell r="C249">
            <v>0</v>
          </cell>
          <cell r="D249">
            <v>1168.9660802002227</v>
          </cell>
          <cell r="E249">
            <v>0</v>
          </cell>
          <cell r="F249">
            <v>0</v>
          </cell>
          <cell r="G249">
            <v>0</v>
          </cell>
          <cell r="H249">
            <v>0</v>
          </cell>
          <cell r="I249">
            <v>0</v>
          </cell>
          <cell r="J249">
            <v>23193.150736817908</v>
          </cell>
        </row>
        <row r="250">
          <cell r="A250">
            <v>232</v>
          </cell>
          <cell r="B250">
            <v>46661</v>
          </cell>
          <cell r="C250">
            <v>0</v>
          </cell>
          <cell r="D250">
            <v>1168.9660802002227</v>
          </cell>
          <cell r="E250">
            <v>0</v>
          </cell>
          <cell r="F250">
            <v>0</v>
          </cell>
          <cell r="G250">
            <v>0</v>
          </cell>
          <cell r="H250">
            <v>0</v>
          </cell>
          <cell r="I250">
            <v>0</v>
          </cell>
          <cell r="J250">
            <v>23193.150736817908</v>
          </cell>
        </row>
        <row r="251">
          <cell r="A251">
            <v>233</v>
          </cell>
          <cell r="B251">
            <v>46692</v>
          </cell>
          <cell r="C251">
            <v>0</v>
          </cell>
          <cell r="D251">
            <v>1168.9660802002227</v>
          </cell>
          <cell r="E251">
            <v>0</v>
          </cell>
          <cell r="F251">
            <v>0</v>
          </cell>
          <cell r="G251">
            <v>0</v>
          </cell>
          <cell r="H251">
            <v>0</v>
          </cell>
          <cell r="I251">
            <v>0</v>
          </cell>
          <cell r="J251">
            <v>23193.150736817908</v>
          </cell>
        </row>
        <row r="252">
          <cell r="A252">
            <v>234</v>
          </cell>
          <cell r="B252">
            <v>46722</v>
          </cell>
          <cell r="C252">
            <v>0</v>
          </cell>
          <cell r="D252">
            <v>1168.9660802002227</v>
          </cell>
          <cell r="E252">
            <v>0</v>
          </cell>
          <cell r="F252">
            <v>0</v>
          </cell>
          <cell r="G252">
            <v>0</v>
          </cell>
          <cell r="H252">
            <v>0</v>
          </cell>
          <cell r="I252">
            <v>0</v>
          </cell>
          <cell r="J252">
            <v>23193.150736817908</v>
          </cell>
        </row>
        <row r="253">
          <cell r="A253">
            <v>235</v>
          </cell>
          <cell r="B253">
            <v>46753</v>
          </cell>
          <cell r="C253">
            <v>0</v>
          </cell>
          <cell r="D253">
            <v>1168.9660802002227</v>
          </cell>
          <cell r="E253">
            <v>0</v>
          </cell>
          <cell r="F253">
            <v>0</v>
          </cell>
          <cell r="G253">
            <v>0</v>
          </cell>
          <cell r="H253">
            <v>0</v>
          </cell>
          <cell r="I253">
            <v>0</v>
          </cell>
          <cell r="J253">
            <v>23193.150736817908</v>
          </cell>
        </row>
        <row r="254">
          <cell r="A254">
            <v>236</v>
          </cell>
          <cell r="B254">
            <v>46784</v>
          </cell>
          <cell r="C254">
            <v>0</v>
          </cell>
          <cell r="D254">
            <v>1168.9660802002227</v>
          </cell>
          <cell r="E254">
            <v>0</v>
          </cell>
          <cell r="F254">
            <v>0</v>
          </cell>
          <cell r="G254">
            <v>0</v>
          </cell>
          <cell r="H254">
            <v>0</v>
          </cell>
          <cell r="I254">
            <v>0</v>
          </cell>
          <cell r="J254">
            <v>23193.150736817908</v>
          </cell>
        </row>
        <row r="255">
          <cell r="A255">
            <v>237</v>
          </cell>
          <cell r="B255">
            <v>46813</v>
          </cell>
          <cell r="C255">
            <v>0</v>
          </cell>
          <cell r="D255">
            <v>1168.9660802002227</v>
          </cell>
          <cell r="E255">
            <v>0</v>
          </cell>
          <cell r="F255">
            <v>0</v>
          </cell>
          <cell r="G255">
            <v>0</v>
          </cell>
          <cell r="H255">
            <v>0</v>
          </cell>
          <cell r="I255">
            <v>0</v>
          </cell>
          <cell r="J255">
            <v>23193.150736817908</v>
          </cell>
        </row>
        <row r="256">
          <cell r="A256">
            <v>238</v>
          </cell>
          <cell r="B256">
            <v>46844</v>
          </cell>
          <cell r="C256">
            <v>0</v>
          </cell>
          <cell r="D256">
            <v>1168.9660802002227</v>
          </cell>
          <cell r="E256">
            <v>0</v>
          </cell>
          <cell r="F256">
            <v>0</v>
          </cell>
          <cell r="G256">
            <v>0</v>
          </cell>
          <cell r="H256">
            <v>0</v>
          </cell>
          <cell r="I256">
            <v>0</v>
          </cell>
          <cell r="J256">
            <v>23193.150736817908</v>
          </cell>
        </row>
        <row r="257">
          <cell r="A257">
            <v>239</v>
          </cell>
          <cell r="B257">
            <v>46874</v>
          </cell>
          <cell r="C257">
            <v>0</v>
          </cell>
          <cell r="D257">
            <v>1168.9660802002227</v>
          </cell>
          <cell r="E257">
            <v>0</v>
          </cell>
          <cell r="F257">
            <v>0</v>
          </cell>
          <cell r="G257">
            <v>0</v>
          </cell>
          <cell r="H257">
            <v>0</v>
          </cell>
          <cell r="I257">
            <v>0</v>
          </cell>
          <cell r="J257">
            <v>23193.150736817908</v>
          </cell>
        </row>
        <row r="258">
          <cell r="A258">
            <v>240</v>
          </cell>
          <cell r="B258">
            <v>46905</v>
          </cell>
          <cell r="C258">
            <v>0</v>
          </cell>
          <cell r="D258">
            <v>1168.9660802002227</v>
          </cell>
          <cell r="E258">
            <v>0</v>
          </cell>
          <cell r="F258">
            <v>0</v>
          </cell>
          <cell r="G258">
            <v>0</v>
          </cell>
          <cell r="H258">
            <v>0</v>
          </cell>
          <cell r="I258">
            <v>0</v>
          </cell>
          <cell r="J258">
            <v>23193.150736817908</v>
          </cell>
        </row>
        <row r="259">
          <cell r="A259">
            <v>241</v>
          </cell>
          <cell r="B259">
            <v>46935</v>
          </cell>
          <cell r="C259">
            <v>0</v>
          </cell>
          <cell r="D259">
            <v>1168.9660802002227</v>
          </cell>
          <cell r="E259">
            <v>0</v>
          </cell>
          <cell r="F259">
            <v>0</v>
          </cell>
          <cell r="G259">
            <v>0</v>
          </cell>
          <cell r="H259">
            <v>0</v>
          </cell>
          <cell r="I259">
            <v>0</v>
          </cell>
          <cell r="J259">
            <v>23193.150736817908</v>
          </cell>
        </row>
        <row r="260">
          <cell r="A260">
            <v>242</v>
          </cell>
          <cell r="B260">
            <v>46966</v>
          </cell>
          <cell r="C260">
            <v>0</v>
          </cell>
          <cell r="D260">
            <v>1168.9660802002227</v>
          </cell>
          <cell r="E260">
            <v>0</v>
          </cell>
          <cell r="F260">
            <v>0</v>
          </cell>
          <cell r="G260">
            <v>0</v>
          </cell>
          <cell r="H260">
            <v>0</v>
          </cell>
          <cell r="I260">
            <v>0</v>
          </cell>
          <cell r="J260">
            <v>23193.150736817908</v>
          </cell>
        </row>
        <row r="261">
          <cell r="A261">
            <v>243</v>
          </cell>
          <cell r="B261">
            <v>46997</v>
          </cell>
          <cell r="C261">
            <v>0</v>
          </cell>
          <cell r="D261">
            <v>1168.9660802002227</v>
          </cell>
          <cell r="E261">
            <v>0</v>
          </cell>
          <cell r="F261">
            <v>0</v>
          </cell>
          <cell r="G261">
            <v>0</v>
          </cell>
          <cell r="H261">
            <v>0</v>
          </cell>
          <cell r="I261">
            <v>0</v>
          </cell>
          <cell r="J261">
            <v>23193.150736817908</v>
          </cell>
        </row>
        <row r="262">
          <cell r="A262">
            <v>244</v>
          </cell>
          <cell r="B262">
            <v>47027</v>
          </cell>
          <cell r="C262">
            <v>0</v>
          </cell>
          <cell r="D262">
            <v>1168.9660802002227</v>
          </cell>
          <cell r="E262">
            <v>0</v>
          </cell>
          <cell r="F262">
            <v>0</v>
          </cell>
          <cell r="G262">
            <v>0</v>
          </cell>
          <cell r="H262">
            <v>0</v>
          </cell>
          <cell r="I262">
            <v>0</v>
          </cell>
          <cell r="J262">
            <v>23193.150736817908</v>
          </cell>
        </row>
        <row r="263">
          <cell r="A263">
            <v>245</v>
          </cell>
          <cell r="B263">
            <v>47058</v>
          </cell>
          <cell r="C263">
            <v>0</v>
          </cell>
          <cell r="D263">
            <v>1168.9660802002227</v>
          </cell>
          <cell r="E263">
            <v>0</v>
          </cell>
          <cell r="F263">
            <v>0</v>
          </cell>
          <cell r="G263">
            <v>0</v>
          </cell>
          <cell r="H263">
            <v>0</v>
          </cell>
          <cell r="I263">
            <v>0</v>
          </cell>
          <cell r="J263">
            <v>23193.150736817908</v>
          </cell>
        </row>
        <row r="264">
          <cell r="A264">
            <v>246</v>
          </cell>
          <cell r="B264">
            <v>47088</v>
          </cell>
          <cell r="C264">
            <v>0</v>
          </cell>
          <cell r="D264">
            <v>1168.9660802002227</v>
          </cell>
          <cell r="E264">
            <v>0</v>
          </cell>
          <cell r="F264">
            <v>0</v>
          </cell>
          <cell r="G264">
            <v>0</v>
          </cell>
          <cell r="H264">
            <v>0</v>
          </cell>
          <cell r="I264">
            <v>0</v>
          </cell>
          <cell r="J264">
            <v>23193.150736817908</v>
          </cell>
        </row>
        <row r="265">
          <cell r="A265">
            <v>247</v>
          </cell>
          <cell r="B265">
            <v>47119</v>
          </cell>
          <cell r="C265">
            <v>0</v>
          </cell>
          <cell r="D265">
            <v>1168.9660802002227</v>
          </cell>
          <cell r="E265">
            <v>0</v>
          </cell>
          <cell r="F265">
            <v>0</v>
          </cell>
          <cell r="G265">
            <v>0</v>
          </cell>
          <cell r="H265">
            <v>0</v>
          </cell>
          <cell r="I265">
            <v>0</v>
          </cell>
          <cell r="J265">
            <v>23193.150736817908</v>
          </cell>
        </row>
        <row r="266">
          <cell r="A266">
            <v>248</v>
          </cell>
          <cell r="B266">
            <v>47150</v>
          </cell>
          <cell r="C266">
            <v>0</v>
          </cell>
          <cell r="D266">
            <v>1168.9660802002227</v>
          </cell>
          <cell r="E266">
            <v>0</v>
          </cell>
          <cell r="F266">
            <v>0</v>
          </cell>
          <cell r="G266">
            <v>0</v>
          </cell>
          <cell r="H266">
            <v>0</v>
          </cell>
          <cell r="I266">
            <v>0</v>
          </cell>
          <cell r="J266">
            <v>23193.150736817908</v>
          </cell>
        </row>
        <row r="267">
          <cell r="A267">
            <v>249</v>
          </cell>
          <cell r="B267">
            <v>47178</v>
          </cell>
          <cell r="C267">
            <v>0</v>
          </cell>
          <cell r="D267">
            <v>1168.9660802002227</v>
          </cell>
          <cell r="E267">
            <v>0</v>
          </cell>
          <cell r="F267">
            <v>0</v>
          </cell>
          <cell r="G267">
            <v>0</v>
          </cell>
          <cell r="H267">
            <v>0</v>
          </cell>
          <cell r="I267">
            <v>0</v>
          </cell>
          <cell r="J267">
            <v>23193.150736817908</v>
          </cell>
        </row>
        <row r="268">
          <cell r="A268">
            <v>250</v>
          </cell>
          <cell r="B268">
            <v>47209</v>
          </cell>
          <cell r="C268">
            <v>0</v>
          </cell>
          <cell r="D268">
            <v>1168.9660802002227</v>
          </cell>
          <cell r="E268">
            <v>0</v>
          </cell>
          <cell r="F268">
            <v>0</v>
          </cell>
          <cell r="G268">
            <v>0</v>
          </cell>
          <cell r="H268">
            <v>0</v>
          </cell>
          <cell r="I268">
            <v>0</v>
          </cell>
          <cell r="J268">
            <v>23193.150736817908</v>
          </cell>
        </row>
        <row r="269">
          <cell r="A269">
            <v>251</v>
          </cell>
          <cell r="B269">
            <v>47239</v>
          </cell>
          <cell r="C269">
            <v>0</v>
          </cell>
          <cell r="D269">
            <v>1168.9660802002227</v>
          </cell>
          <cell r="E269">
            <v>0</v>
          </cell>
          <cell r="F269">
            <v>0</v>
          </cell>
          <cell r="G269">
            <v>0</v>
          </cell>
          <cell r="H269">
            <v>0</v>
          </cell>
          <cell r="I269">
            <v>0</v>
          </cell>
          <cell r="J269">
            <v>23193.150736817908</v>
          </cell>
        </row>
        <row r="270">
          <cell r="A270">
            <v>252</v>
          </cell>
          <cell r="B270">
            <v>47270</v>
          </cell>
          <cell r="C270">
            <v>0</v>
          </cell>
          <cell r="D270">
            <v>1168.9660802002227</v>
          </cell>
          <cell r="E270">
            <v>0</v>
          </cell>
          <cell r="F270">
            <v>0</v>
          </cell>
          <cell r="G270">
            <v>0</v>
          </cell>
          <cell r="H270">
            <v>0</v>
          </cell>
          <cell r="I270">
            <v>0</v>
          </cell>
          <cell r="J270">
            <v>23193.150736817908</v>
          </cell>
        </row>
        <row r="271">
          <cell r="A271">
            <v>253</v>
          </cell>
          <cell r="B271">
            <v>47300</v>
          </cell>
          <cell r="C271">
            <v>0</v>
          </cell>
          <cell r="D271">
            <v>1168.9660802002227</v>
          </cell>
          <cell r="E271">
            <v>0</v>
          </cell>
          <cell r="F271">
            <v>0</v>
          </cell>
          <cell r="G271">
            <v>0</v>
          </cell>
          <cell r="H271">
            <v>0</v>
          </cell>
          <cell r="I271">
            <v>0</v>
          </cell>
          <cell r="J271">
            <v>23193.150736817908</v>
          </cell>
        </row>
        <row r="272">
          <cell r="A272">
            <v>254</v>
          </cell>
          <cell r="B272">
            <v>47331</v>
          </cell>
          <cell r="C272">
            <v>0</v>
          </cell>
          <cell r="D272">
            <v>1168.9660802002227</v>
          </cell>
          <cell r="E272">
            <v>0</v>
          </cell>
          <cell r="F272">
            <v>0</v>
          </cell>
          <cell r="G272">
            <v>0</v>
          </cell>
          <cell r="H272">
            <v>0</v>
          </cell>
          <cell r="I272">
            <v>0</v>
          </cell>
          <cell r="J272">
            <v>23193.150736817908</v>
          </cell>
        </row>
        <row r="273">
          <cell r="A273">
            <v>255</v>
          </cell>
          <cell r="B273">
            <v>47362</v>
          </cell>
          <cell r="C273">
            <v>0</v>
          </cell>
          <cell r="D273">
            <v>1168.9660802002227</v>
          </cell>
          <cell r="E273">
            <v>0</v>
          </cell>
          <cell r="F273">
            <v>0</v>
          </cell>
          <cell r="G273">
            <v>0</v>
          </cell>
          <cell r="H273">
            <v>0</v>
          </cell>
          <cell r="I273">
            <v>0</v>
          </cell>
          <cell r="J273">
            <v>23193.150736817908</v>
          </cell>
        </row>
        <row r="274">
          <cell r="A274">
            <v>256</v>
          </cell>
          <cell r="B274">
            <v>47392</v>
          </cell>
          <cell r="C274">
            <v>0</v>
          </cell>
          <cell r="D274">
            <v>1168.9660802002227</v>
          </cell>
          <cell r="E274">
            <v>0</v>
          </cell>
          <cell r="F274">
            <v>0</v>
          </cell>
          <cell r="G274">
            <v>0</v>
          </cell>
          <cell r="H274">
            <v>0</v>
          </cell>
          <cell r="I274">
            <v>0</v>
          </cell>
          <cell r="J274">
            <v>23193.150736817908</v>
          </cell>
        </row>
        <row r="275">
          <cell r="A275">
            <v>257</v>
          </cell>
          <cell r="B275">
            <v>47423</v>
          </cell>
          <cell r="C275">
            <v>0</v>
          </cell>
          <cell r="D275">
            <v>1168.9660802002227</v>
          </cell>
          <cell r="E275">
            <v>0</v>
          </cell>
          <cell r="F275">
            <v>0</v>
          </cell>
          <cell r="G275">
            <v>0</v>
          </cell>
          <cell r="H275">
            <v>0</v>
          </cell>
          <cell r="I275">
            <v>0</v>
          </cell>
          <cell r="J275">
            <v>23193.150736817908</v>
          </cell>
        </row>
        <row r="276">
          <cell r="A276">
            <v>258</v>
          </cell>
          <cell r="B276">
            <v>47453</v>
          </cell>
          <cell r="C276">
            <v>0</v>
          </cell>
          <cell r="D276">
            <v>1168.9660802002227</v>
          </cell>
          <cell r="E276">
            <v>0</v>
          </cell>
          <cell r="F276">
            <v>0</v>
          </cell>
          <cell r="G276">
            <v>0</v>
          </cell>
          <cell r="H276">
            <v>0</v>
          </cell>
          <cell r="I276">
            <v>0</v>
          </cell>
          <cell r="J276">
            <v>23193.150736817908</v>
          </cell>
        </row>
        <row r="277">
          <cell r="A277">
            <v>259</v>
          </cell>
          <cell r="B277">
            <v>47484</v>
          </cell>
          <cell r="C277">
            <v>0</v>
          </cell>
          <cell r="D277">
            <v>1168.9660802002227</v>
          </cell>
          <cell r="E277">
            <v>0</v>
          </cell>
          <cell r="F277">
            <v>0</v>
          </cell>
          <cell r="G277">
            <v>0</v>
          </cell>
          <cell r="H277">
            <v>0</v>
          </cell>
          <cell r="I277">
            <v>0</v>
          </cell>
          <cell r="J277">
            <v>23193.150736817908</v>
          </cell>
        </row>
        <row r="278">
          <cell r="A278">
            <v>260</v>
          </cell>
          <cell r="B278">
            <v>47515</v>
          </cell>
          <cell r="C278">
            <v>0</v>
          </cell>
          <cell r="D278">
            <v>1168.9660802002227</v>
          </cell>
          <cell r="E278">
            <v>0</v>
          </cell>
          <cell r="F278">
            <v>0</v>
          </cell>
          <cell r="G278">
            <v>0</v>
          </cell>
          <cell r="H278">
            <v>0</v>
          </cell>
          <cell r="I278">
            <v>0</v>
          </cell>
          <cell r="J278">
            <v>23193.150736817908</v>
          </cell>
        </row>
        <row r="279">
          <cell r="A279">
            <v>261</v>
          </cell>
          <cell r="B279">
            <v>47543</v>
          </cell>
          <cell r="C279">
            <v>0</v>
          </cell>
          <cell r="D279">
            <v>1168.9660802002227</v>
          </cell>
          <cell r="E279">
            <v>0</v>
          </cell>
          <cell r="F279">
            <v>0</v>
          </cell>
          <cell r="G279">
            <v>0</v>
          </cell>
          <cell r="H279">
            <v>0</v>
          </cell>
          <cell r="I279">
            <v>0</v>
          </cell>
          <cell r="J279">
            <v>23193.150736817908</v>
          </cell>
        </row>
        <row r="280">
          <cell r="A280">
            <v>262</v>
          </cell>
          <cell r="B280">
            <v>47574</v>
          </cell>
          <cell r="C280">
            <v>0</v>
          </cell>
          <cell r="D280">
            <v>1168.9660802002227</v>
          </cell>
          <cell r="E280">
            <v>0</v>
          </cell>
          <cell r="F280">
            <v>0</v>
          </cell>
          <cell r="G280">
            <v>0</v>
          </cell>
          <cell r="H280">
            <v>0</v>
          </cell>
          <cell r="I280">
            <v>0</v>
          </cell>
          <cell r="J280">
            <v>23193.150736817908</v>
          </cell>
        </row>
        <row r="281">
          <cell r="A281">
            <v>263</v>
          </cell>
          <cell r="B281">
            <v>47604</v>
          </cell>
          <cell r="C281">
            <v>0</v>
          </cell>
          <cell r="D281">
            <v>1168.9660802002227</v>
          </cell>
          <cell r="E281">
            <v>0</v>
          </cell>
          <cell r="F281">
            <v>0</v>
          </cell>
          <cell r="G281">
            <v>0</v>
          </cell>
          <cell r="H281">
            <v>0</v>
          </cell>
          <cell r="I281">
            <v>0</v>
          </cell>
          <cell r="J281">
            <v>23193.150736817908</v>
          </cell>
        </row>
        <row r="282">
          <cell r="A282">
            <v>264</v>
          </cell>
          <cell r="B282">
            <v>47635</v>
          </cell>
          <cell r="C282">
            <v>0</v>
          </cell>
          <cell r="D282">
            <v>1168.9660802002227</v>
          </cell>
          <cell r="E282">
            <v>0</v>
          </cell>
          <cell r="F282">
            <v>0</v>
          </cell>
          <cell r="G282">
            <v>0</v>
          </cell>
          <cell r="H282">
            <v>0</v>
          </cell>
          <cell r="I282">
            <v>0</v>
          </cell>
          <cell r="J282">
            <v>23193.150736817908</v>
          </cell>
        </row>
        <row r="283">
          <cell r="A283">
            <v>265</v>
          </cell>
          <cell r="B283">
            <v>47665</v>
          </cell>
          <cell r="C283">
            <v>0</v>
          </cell>
          <cell r="D283">
            <v>1168.9660802002227</v>
          </cell>
          <cell r="E283">
            <v>0</v>
          </cell>
          <cell r="F283">
            <v>0</v>
          </cell>
          <cell r="G283">
            <v>0</v>
          </cell>
          <cell r="H283">
            <v>0</v>
          </cell>
          <cell r="I283">
            <v>0</v>
          </cell>
          <cell r="J283">
            <v>23193.150736817908</v>
          </cell>
        </row>
        <row r="284">
          <cell r="A284">
            <v>266</v>
          </cell>
          <cell r="B284">
            <v>47696</v>
          </cell>
          <cell r="C284">
            <v>0</v>
          </cell>
          <cell r="D284">
            <v>1168.9660802002227</v>
          </cell>
          <cell r="E284">
            <v>0</v>
          </cell>
          <cell r="F284">
            <v>0</v>
          </cell>
          <cell r="G284">
            <v>0</v>
          </cell>
          <cell r="H284">
            <v>0</v>
          </cell>
          <cell r="I284">
            <v>0</v>
          </cell>
          <cell r="J284">
            <v>23193.150736817908</v>
          </cell>
        </row>
        <row r="285">
          <cell r="A285">
            <v>267</v>
          </cell>
          <cell r="B285">
            <v>47727</v>
          </cell>
          <cell r="C285">
            <v>0</v>
          </cell>
          <cell r="D285">
            <v>1168.9660802002227</v>
          </cell>
          <cell r="E285">
            <v>0</v>
          </cell>
          <cell r="F285">
            <v>0</v>
          </cell>
          <cell r="G285">
            <v>0</v>
          </cell>
          <cell r="H285">
            <v>0</v>
          </cell>
          <cell r="I285">
            <v>0</v>
          </cell>
          <cell r="J285">
            <v>23193.150736817908</v>
          </cell>
        </row>
        <row r="286">
          <cell r="A286">
            <v>268</v>
          </cell>
          <cell r="B286">
            <v>47757</v>
          </cell>
          <cell r="C286">
            <v>0</v>
          </cell>
          <cell r="D286">
            <v>1168.9660802002227</v>
          </cell>
          <cell r="E286">
            <v>0</v>
          </cell>
          <cell r="F286">
            <v>0</v>
          </cell>
          <cell r="G286">
            <v>0</v>
          </cell>
          <cell r="H286">
            <v>0</v>
          </cell>
          <cell r="I286">
            <v>0</v>
          </cell>
          <cell r="J286">
            <v>23193.150736817908</v>
          </cell>
        </row>
        <row r="287">
          <cell r="A287">
            <v>269</v>
          </cell>
          <cell r="B287">
            <v>47788</v>
          </cell>
          <cell r="C287">
            <v>0</v>
          </cell>
          <cell r="D287">
            <v>1168.9660802002227</v>
          </cell>
          <cell r="E287">
            <v>0</v>
          </cell>
          <cell r="F287">
            <v>0</v>
          </cell>
          <cell r="G287">
            <v>0</v>
          </cell>
          <cell r="H287">
            <v>0</v>
          </cell>
          <cell r="I287">
            <v>0</v>
          </cell>
          <cell r="J287">
            <v>23193.150736817908</v>
          </cell>
        </row>
        <row r="288">
          <cell r="A288">
            <v>270</v>
          </cell>
          <cell r="B288">
            <v>47818</v>
          </cell>
          <cell r="C288">
            <v>0</v>
          </cell>
          <cell r="D288">
            <v>1168.9660802002227</v>
          </cell>
          <cell r="E288">
            <v>0</v>
          </cell>
          <cell r="F288">
            <v>0</v>
          </cell>
          <cell r="G288">
            <v>0</v>
          </cell>
          <cell r="H288">
            <v>0</v>
          </cell>
          <cell r="I288">
            <v>0</v>
          </cell>
          <cell r="J288">
            <v>23193.150736817908</v>
          </cell>
        </row>
        <row r="289">
          <cell r="A289">
            <v>271</v>
          </cell>
          <cell r="B289">
            <v>47849</v>
          </cell>
          <cell r="C289">
            <v>0</v>
          </cell>
          <cell r="D289">
            <v>1168.9660802002227</v>
          </cell>
          <cell r="E289">
            <v>0</v>
          </cell>
          <cell r="F289">
            <v>0</v>
          </cell>
          <cell r="G289">
            <v>0</v>
          </cell>
          <cell r="H289">
            <v>0</v>
          </cell>
          <cell r="I289">
            <v>0</v>
          </cell>
          <cell r="J289">
            <v>23193.150736817908</v>
          </cell>
        </row>
        <row r="290">
          <cell r="A290">
            <v>272</v>
          </cell>
          <cell r="B290">
            <v>47880</v>
          </cell>
          <cell r="C290">
            <v>0</v>
          </cell>
          <cell r="D290">
            <v>1168.9660802002227</v>
          </cell>
          <cell r="E290">
            <v>0</v>
          </cell>
          <cell r="F290">
            <v>0</v>
          </cell>
          <cell r="G290">
            <v>0</v>
          </cell>
          <cell r="H290">
            <v>0</v>
          </cell>
          <cell r="I290">
            <v>0</v>
          </cell>
          <cell r="J290">
            <v>23193.150736817908</v>
          </cell>
        </row>
        <row r="291">
          <cell r="A291">
            <v>273</v>
          </cell>
          <cell r="B291">
            <v>47908</v>
          </cell>
          <cell r="C291">
            <v>0</v>
          </cell>
          <cell r="D291">
            <v>1168.9660802002227</v>
          </cell>
          <cell r="E291">
            <v>0</v>
          </cell>
          <cell r="F291">
            <v>0</v>
          </cell>
          <cell r="G291">
            <v>0</v>
          </cell>
          <cell r="H291">
            <v>0</v>
          </cell>
          <cell r="I291">
            <v>0</v>
          </cell>
          <cell r="J291">
            <v>23193.150736817908</v>
          </cell>
        </row>
        <row r="292">
          <cell r="A292">
            <v>274</v>
          </cell>
          <cell r="B292">
            <v>47939</v>
          </cell>
          <cell r="C292">
            <v>0</v>
          </cell>
          <cell r="D292">
            <v>1168.9660802002227</v>
          </cell>
          <cell r="E292">
            <v>0</v>
          </cell>
          <cell r="F292">
            <v>0</v>
          </cell>
          <cell r="G292">
            <v>0</v>
          </cell>
          <cell r="H292">
            <v>0</v>
          </cell>
          <cell r="I292">
            <v>0</v>
          </cell>
          <cell r="J292">
            <v>23193.150736817908</v>
          </cell>
        </row>
        <row r="293">
          <cell r="A293">
            <v>275</v>
          </cell>
          <cell r="B293">
            <v>47969</v>
          </cell>
          <cell r="C293">
            <v>0</v>
          </cell>
          <cell r="D293">
            <v>1168.9660802002227</v>
          </cell>
          <cell r="E293">
            <v>0</v>
          </cell>
          <cell r="F293">
            <v>0</v>
          </cell>
          <cell r="G293">
            <v>0</v>
          </cell>
          <cell r="H293">
            <v>0</v>
          </cell>
          <cell r="I293">
            <v>0</v>
          </cell>
          <cell r="J293">
            <v>23193.150736817908</v>
          </cell>
        </row>
        <row r="294">
          <cell r="A294">
            <v>276</v>
          </cell>
          <cell r="B294">
            <v>48000</v>
          </cell>
          <cell r="C294">
            <v>0</v>
          </cell>
          <cell r="D294">
            <v>1168.9660802002227</v>
          </cell>
          <cell r="E294">
            <v>0</v>
          </cell>
          <cell r="F294">
            <v>0</v>
          </cell>
          <cell r="G294">
            <v>0</v>
          </cell>
          <cell r="H294">
            <v>0</v>
          </cell>
          <cell r="I294">
            <v>0</v>
          </cell>
          <cell r="J294">
            <v>23193.150736817908</v>
          </cell>
        </row>
        <row r="295">
          <cell r="A295">
            <v>277</v>
          </cell>
          <cell r="B295">
            <v>48030</v>
          </cell>
          <cell r="C295">
            <v>0</v>
          </cell>
          <cell r="D295">
            <v>1168.9660802002227</v>
          </cell>
          <cell r="E295">
            <v>0</v>
          </cell>
          <cell r="F295">
            <v>0</v>
          </cell>
          <cell r="G295">
            <v>0</v>
          </cell>
          <cell r="H295">
            <v>0</v>
          </cell>
          <cell r="I295">
            <v>0</v>
          </cell>
          <cell r="J295">
            <v>23193.150736817908</v>
          </cell>
        </row>
        <row r="296">
          <cell r="A296">
            <v>278</v>
          </cell>
          <cell r="B296">
            <v>48061</v>
          </cell>
          <cell r="C296">
            <v>0</v>
          </cell>
          <cell r="D296">
            <v>1168.9660802002227</v>
          </cell>
          <cell r="E296">
            <v>0</v>
          </cell>
          <cell r="F296">
            <v>0</v>
          </cell>
          <cell r="G296">
            <v>0</v>
          </cell>
          <cell r="H296">
            <v>0</v>
          </cell>
          <cell r="I296">
            <v>0</v>
          </cell>
          <cell r="J296">
            <v>23193.150736817908</v>
          </cell>
        </row>
        <row r="297">
          <cell r="A297">
            <v>279</v>
          </cell>
          <cell r="B297">
            <v>48092</v>
          </cell>
          <cell r="C297">
            <v>0</v>
          </cell>
          <cell r="D297">
            <v>1168.9660802002227</v>
          </cell>
          <cell r="E297">
            <v>0</v>
          </cell>
          <cell r="F297">
            <v>0</v>
          </cell>
          <cell r="G297">
            <v>0</v>
          </cell>
          <cell r="H297">
            <v>0</v>
          </cell>
          <cell r="I297">
            <v>0</v>
          </cell>
          <cell r="J297">
            <v>23193.150736817908</v>
          </cell>
        </row>
        <row r="298">
          <cell r="A298">
            <v>280</v>
          </cell>
          <cell r="B298">
            <v>48122</v>
          </cell>
          <cell r="C298">
            <v>0</v>
          </cell>
          <cell r="D298">
            <v>1168.9660802002227</v>
          </cell>
          <cell r="E298">
            <v>0</v>
          </cell>
          <cell r="F298">
            <v>0</v>
          </cell>
          <cell r="G298">
            <v>0</v>
          </cell>
          <cell r="H298">
            <v>0</v>
          </cell>
          <cell r="I298">
            <v>0</v>
          </cell>
          <cell r="J298">
            <v>23193.150736817908</v>
          </cell>
        </row>
        <row r="299">
          <cell r="A299">
            <v>281</v>
          </cell>
          <cell r="B299">
            <v>48153</v>
          </cell>
          <cell r="C299">
            <v>0</v>
          </cell>
          <cell r="D299">
            <v>1168.9660802002227</v>
          </cell>
          <cell r="E299">
            <v>0</v>
          </cell>
          <cell r="F299">
            <v>0</v>
          </cell>
          <cell r="G299">
            <v>0</v>
          </cell>
          <cell r="H299">
            <v>0</v>
          </cell>
          <cell r="I299">
            <v>0</v>
          </cell>
          <cell r="J299">
            <v>23193.150736817908</v>
          </cell>
        </row>
        <row r="300">
          <cell r="A300">
            <v>282</v>
          </cell>
          <cell r="B300">
            <v>48183</v>
          </cell>
          <cell r="C300">
            <v>0</v>
          </cell>
          <cell r="D300">
            <v>1168.9660802002227</v>
          </cell>
          <cell r="E300">
            <v>0</v>
          </cell>
          <cell r="F300">
            <v>0</v>
          </cell>
          <cell r="G300">
            <v>0</v>
          </cell>
          <cell r="H300">
            <v>0</v>
          </cell>
          <cell r="I300">
            <v>0</v>
          </cell>
          <cell r="J300">
            <v>23193.150736817908</v>
          </cell>
        </row>
        <row r="301">
          <cell r="A301">
            <v>283</v>
          </cell>
          <cell r="B301">
            <v>48214</v>
          </cell>
          <cell r="C301">
            <v>0</v>
          </cell>
          <cell r="D301">
            <v>1168.9660802002227</v>
          </cell>
          <cell r="E301">
            <v>0</v>
          </cell>
          <cell r="F301">
            <v>0</v>
          </cell>
          <cell r="G301">
            <v>0</v>
          </cell>
          <cell r="H301">
            <v>0</v>
          </cell>
          <cell r="I301">
            <v>0</v>
          </cell>
          <cell r="J301">
            <v>23193.150736817908</v>
          </cell>
        </row>
        <row r="302">
          <cell r="A302">
            <v>284</v>
          </cell>
          <cell r="B302">
            <v>48245</v>
          </cell>
          <cell r="C302">
            <v>0</v>
          </cell>
          <cell r="D302">
            <v>1168.9660802002227</v>
          </cell>
          <cell r="E302">
            <v>0</v>
          </cell>
          <cell r="F302">
            <v>0</v>
          </cell>
          <cell r="G302">
            <v>0</v>
          </cell>
          <cell r="H302">
            <v>0</v>
          </cell>
          <cell r="I302">
            <v>0</v>
          </cell>
          <cell r="J302">
            <v>23193.150736817908</v>
          </cell>
        </row>
        <row r="303">
          <cell r="A303">
            <v>285</v>
          </cell>
          <cell r="B303">
            <v>48274</v>
          </cell>
          <cell r="C303">
            <v>0</v>
          </cell>
          <cell r="D303">
            <v>1168.9660802002227</v>
          </cell>
          <cell r="E303">
            <v>0</v>
          </cell>
          <cell r="F303">
            <v>0</v>
          </cell>
          <cell r="G303">
            <v>0</v>
          </cell>
          <cell r="H303">
            <v>0</v>
          </cell>
          <cell r="I303">
            <v>0</v>
          </cell>
          <cell r="J303">
            <v>23193.150736817908</v>
          </cell>
        </row>
        <row r="304">
          <cell r="A304">
            <v>286</v>
          </cell>
          <cell r="B304">
            <v>48305</v>
          </cell>
          <cell r="C304">
            <v>0</v>
          </cell>
          <cell r="D304">
            <v>1168.9660802002227</v>
          </cell>
          <cell r="E304">
            <v>0</v>
          </cell>
          <cell r="F304">
            <v>0</v>
          </cell>
          <cell r="G304">
            <v>0</v>
          </cell>
          <cell r="H304">
            <v>0</v>
          </cell>
          <cell r="I304">
            <v>0</v>
          </cell>
          <cell r="J304">
            <v>23193.150736817908</v>
          </cell>
        </row>
        <row r="305">
          <cell r="A305">
            <v>287</v>
          </cell>
          <cell r="B305">
            <v>48335</v>
          </cell>
          <cell r="C305">
            <v>0</v>
          </cell>
          <cell r="D305">
            <v>1168.9660802002227</v>
          </cell>
          <cell r="E305">
            <v>0</v>
          </cell>
          <cell r="F305">
            <v>0</v>
          </cell>
          <cell r="G305">
            <v>0</v>
          </cell>
          <cell r="H305">
            <v>0</v>
          </cell>
          <cell r="I305">
            <v>0</v>
          </cell>
          <cell r="J305">
            <v>23193.150736817908</v>
          </cell>
        </row>
        <row r="306">
          <cell r="A306">
            <v>288</v>
          </cell>
          <cell r="B306">
            <v>48366</v>
          </cell>
          <cell r="C306">
            <v>0</v>
          </cell>
          <cell r="D306">
            <v>1168.9660802002227</v>
          </cell>
          <cell r="E306">
            <v>0</v>
          </cell>
          <cell r="F306">
            <v>0</v>
          </cell>
          <cell r="G306">
            <v>0</v>
          </cell>
          <cell r="H306">
            <v>0</v>
          </cell>
          <cell r="I306">
            <v>0</v>
          </cell>
          <cell r="J306">
            <v>23193.150736817908</v>
          </cell>
        </row>
        <row r="307">
          <cell r="A307">
            <v>289</v>
          </cell>
          <cell r="B307">
            <v>48396</v>
          </cell>
          <cell r="C307">
            <v>0</v>
          </cell>
          <cell r="D307">
            <v>1168.9660802002227</v>
          </cell>
          <cell r="E307">
            <v>0</v>
          </cell>
          <cell r="F307">
            <v>0</v>
          </cell>
          <cell r="G307">
            <v>0</v>
          </cell>
          <cell r="H307">
            <v>0</v>
          </cell>
          <cell r="I307">
            <v>0</v>
          </cell>
          <cell r="J307">
            <v>23193.150736817908</v>
          </cell>
        </row>
        <row r="308">
          <cell r="A308">
            <v>290</v>
          </cell>
          <cell r="B308">
            <v>48427</v>
          </cell>
          <cell r="C308">
            <v>0</v>
          </cell>
          <cell r="D308">
            <v>1168.9660802002227</v>
          </cell>
          <cell r="E308">
            <v>0</v>
          </cell>
          <cell r="F308">
            <v>0</v>
          </cell>
          <cell r="G308">
            <v>0</v>
          </cell>
          <cell r="H308">
            <v>0</v>
          </cell>
          <cell r="I308">
            <v>0</v>
          </cell>
          <cell r="J308">
            <v>23193.150736817908</v>
          </cell>
        </row>
        <row r="309">
          <cell r="A309">
            <v>291</v>
          </cell>
          <cell r="B309">
            <v>48458</v>
          </cell>
          <cell r="C309">
            <v>0</v>
          </cell>
          <cell r="D309">
            <v>1168.9660802002227</v>
          </cell>
          <cell r="E309">
            <v>0</v>
          </cell>
          <cell r="F309">
            <v>0</v>
          </cell>
          <cell r="G309">
            <v>0</v>
          </cell>
          <cell r="H309">
            <v>0</v>
          </cell>
          <cell r="I309">
            <v>0</v>
          </cell>
          <cell r="J309">
            <v>23193.150736817908</v>
          </cell>
        </row>
        <row r="310">
          <cell r="A310">
            <v>292</v>
          </cell>
          <cell r="B310">
            <v>48488</v>
          </cell>
          <cell r="C310">
            <v>0</v>
          </cell>
          <cell r="D310">
            <v>1168.9660802002227</v>
          </cell>
          <cell r="E310">
            <v>0</v>
          </cell>
          <cell r="F310">
            <v>0</v>
          </cell>
          <cell r="G310">
            <v>0</v>
          </cell>
          <cell r="H310">
            <v>0</v>
          </cell>
          <cell r="I310">
            <v>0</v>
          </cell>
          <cell r="J310">
            <v>23193.150736817908</v>
          </cell>
        </row>
        <row r="311">
          <cell r="A311">
            <v>293</v>
          </cell>
          <cell r="B311">
            <v>48519</v>
          </cell>
          <cell r="C311">
            <v>0</v>
          </cell>
          <cell r="D311">
            <v>1168.9660802002227</v>
          </cell>
          <cell r="E311">
            <v>0</v>
          </cell>
          <cell r="F311">
            <v>0</v>
          </cell>
          <cell r="G311">
            <v>0</v>
          </cell>
          <cell r="H311">
            <v>0</v>
          </cell>
          <cell r="I311">
            <v>0</v>
          </cell>
          <cell r="J311">
            <v>23193.150736817908</v>
          </cell>
        </row>
        <row r="312">
          <cell r="A312">
            <v>294</v>
          </cell>
          <cell r="B312">
            <v>48549</v>
          </cell>
          <cell r="C312">
            <v>0</v>
          </cell>
          <cell r="D312">
            <v>1168.9660802002227</v>
          </cell>
          <cell r="E312">
            <v>0</v>
          </cell>
          <cell r="F312">
            <v>0</v>
          </cell>
          <cell r="G312">
            <v>0</v>
          </cell>
          <cell r="H312">
            <v>0</v>
          </cell>
          <cell r="I312">
            <v>0</v>
          </cell>
          <cell r="J312">
            <v>23193.150736817908</v>
          </cell>
        </row>
        <row r="313">
          <cell r="A313">
            <v>295</v>
          </cell>
          <cell r="B313">
            <v>48580</v>
          </cell>
          <cell r="C313">
            <v>0</v>
          </cell>
          <cell r="D313">
            <v>1168.9660802002227</v>
          </cell>
          <cell r="E313">
            <v>0</v>
          </cell>
          <cell r="F313">
            <v>0</v>
          </cell>
          <cell r="G313">
            <v>0</v>
          </cell>
          <cell r="H313">
            <v>0</v>
          </cell>
          <cell r="I313">
            <v>0</v>
          </cell>
          <cell r="J313">
            <v>23193.150736817908</v>
          </cell>
        </row>
        <row r="314">
          <cell r="A314">
            <v>296</v>
          </cell>
          <cell r="B314">
            <v>48611</v>
          </cell>
          <cell r="C314">
            <v>0</v>
          </cell>
          <cell r="D314">
            <v>1168.9660802002227</v>
          </cell>
          <cell r="E314">
            <v>0</v>
          </cell>
          <cell r="F314">
            <v>0</v>
          </cell>
          <cell r="G314">
            <v>0</v>
          </cell>
          <cell r="H314">
            <v>0</v>
          </cell>
          <cell r="I314">
            <v>0</v>
          </cell>
          <cell r="J314">
            <v>23193.150736817908</v>
          </cell>
        </row>
        <row r="315">
          <cell r="A315">
            <v>297</v>
          </cell>
          <cell r="B315">
            <v>48639</v>
          </cell>
          <cell r="C315">
            <v>0</v>
          </cell>
          <cell r="D315">
            <v>1168.9660802002227</v>
          </cell>
          <cell r="E315">
            <v>0</v>
          </cell>
          <cell r="F315">
            <v>0</v>
          </cell>
          <cell r="G315">
            <v>0</v>
          </cell>
          <cell r="H315">
            <v>0</v>
          </cell>
          <cell r="I315">
            <v>0</v>
          </cell>
          <cell r="J315">
            <v>23193.150736817908</v>
          </cell>
        </row>
        <row r="316">
          <cell r="A316">
            <v>298</v>
          </cell>
          <cell r="B316">
            <v>48670</v>
          </cell>
          <cell r="C316">
            <v>0</v>
          </cell>
          <cell r="D316">
            <v>1168.9660802002227</v>
          </cell>
          <cell r="E316">
            <v>0</v>
          </cell>
          <cell r="F316">
            <v>0</v>
          </cell>
          <cell r="G316">
            <v>0</v>
          </cell>
          <cell r="H316">
            <v>0</v>
          </cell>
          <cell r="I316">
            <v>0</v>
          </cell>
          <cell r="J316">
            <v>23193.150736817908</v>
          </cell>
        </row>
        <row r="317">
          <cell r="A317">
            <v>299</v>
          </cell>
          <cell r="B317">
            <v>48700</v>
          </cell>
          <cell r="C317">
            <v>0</v>
          </cell>
          <cell r="D317">
            <v>1168.9660802002227</v>
          </cell>
          <cell r="E317">
            <v>0</v>
          </cell>
          <cell r="F317">
            <v>0</v>
          </cell>
          <cell r="G317">
            <v>0</v>
          </cell>
          <cell r="H317">
            <v>0</v>
          </cell>
          <cell r="I317">
            <v>0</v>
          </cell>
          <cell r="J317">
            <v>23193.150736817908</v>
          </cell>
        </row>
        <row r="318">
          <cell r="A318">
            <v>300</v>
          </cell>
          <cell r="B318">
            <v>48731</v>
          </cell>
          <cell r="C318">
            <v>0</v>
          </cell>
          <cell r="D318">
            <v>1168.9660802002227</v>
          </cell>
          <cell r="E318">
            <v>0</v>
          </cell>
          <cell r="F318">
            <v>0</v>
          </cell>
          <cell r="G318">
            <v>0</v>
          </cell>
          <cell r="H318">
            <v>0</v>
          </cell>
          <cell r="I318">
            <v>0</v>
          </cell>
          <cell r="J318">
            <v>23193.150736817908</v>
          </cell>
        </row>
        <row r="319">
          <cell r="A319">
            <v>301</v>
          </cell>
          <cell r="B319">
            <v>48761</v>
          </cell>
          <cell r="C319">
            <v>0</v>
          </cell>
          <cell r="D319">
            <v>1168.9660802002227</v>
          </cell>
          <cell r="E319">
            <v>0</v>
          </cell>
          <cell r="F319">
            <v>0</v>
          </cell>
          <cell r="G319">
            <v>0</v>
          </cell>
          <cell r="H319">
            <v>0</v>
          </cell>
          <cell r="I319">
            <v>0</v>
          </cell>
          <cell r="J319">
            <v>23193.150736817908</v>
          </cell>
        </row>
        <row r="320">
          <cell r="A320">
            <v>302</v>
          </cell>
          <cell r="B320">
            <v>48792</v>
          </cell>
          <cell r="C320">
            <v>0</v>
          </cell>
          <cell r="D320">
            <v>1168.9660802002227</v>
          </cell>
          <cell r="E320">
            <v>0</v>
          </cell>
          <cell r="F320">
            <v>0</v>
          </cell>
          <cell r="G320">
            <v>0</v>
          </cell>
          <cell r="H320">
            <v>0</v>
          </cell>
          <cell r="I320">
            <v>0</v>
          </cell>
          <cell r="J320">
            <v>23193.150736817908</v>
          </cell>
        </row>
        <row r="321">
          <cell r="A321">
            <v>303</v>
          </cell>
          <cell r="B321">
            <v>48823</v>
          </cell>
          <cell r="C321">
            <v>0</v>
          </cell>
          <cell r="D321">
            <v>1168.9660802002227</v>
          </cell>
          <cell r="E321">
            <v>0</v>
          </cell>
          <cell r="F321">
            <v>0</v>
          </cell>
          <cell r="G321">
            <v>0</v>
          </cell>
          <cell r="H321">
            <v>0</v>
          </cell>
          <cell r="I321">
            <v>0</v>
          </cell>
          <cell r="J321">
            <v>23193.150736817908</v>
          </cell>
        </row>
        <row r="322">
          <cell r="A322">
            <v>304</v>
          </cell>
          <cell r="B322">
            <v>48853</v>
          </cell>
          <cell r="C322">
            <v>0</v>
          </cell>
          <cell r="D322">
            <v>1168.9660802002227</v>
          </cell>
          <cell r="E322">
            <v>0</v>
          </cell>
          <cell r="F322">
            <v>0</v>
          </cell>
          <cell r="G322">
            <v>0</v>
          </cell>
          <cell r="H322">
            <v>0</v>
          </cell>
          <cell r="I322">
            <v>0</v>
          </cell>
          <cell r="J322">
            <v>23193.150736817908</v>
          </cell>
        </row>
        <row r="323">
          <cell r="A323">
            <v>305</v>
          </cell>
          <cell r="B323">
            <v>48884</v>
          </cell>
          <cell r="C323">
            <v>0</v>
          </cell>
          <cell r="D323">
            <v>1168.9660802002227</v>
          </cell>
          <cell r="E323">
            <v>0</v>
          </cell>
          <cell r="F323">
            <v>0</v>
          </cell>
          <cell r="G323">
            <v>0</v>
          </cell>
          <cell r="H323">
            <v>0</v>
          </cell>
          <cell r="I323">
            <v>0</v>
          </cell>
          <cell r="J323">
            <v>23193.150736817908</v>
          </cell>
        </row>
        <row r="324">
          <cell r="A324">
            <v>306</v>
          </cell>
          <cell r="B324">
            <v>48914</v>
          </cell>
          <cell r="C324">
            <v>0</v>
          </cell>
          <cell r="D324">
            <v>1168.9660802002227</v>
          </cell>
          <cell r="E324">
            <v>0</v>
          </cell>
          <cell r="F324">
            <v>0</v>
          </cell>
          <cell r="G324">
            <v>0</v>
          </cell>
          <cell r="H324">
            <v>0</v>
          </cell>
          <cell r="I324">
            <v>0</v>
          </cell>
          <cell r="J324">
            <v>23193.150736817908</v>
          </cell>
        </row>
        <row r="325">
          <cell r="A325">
            <v>307</v>
          </cell>
          <cell r="B325">
            <v>48945</v>
          </cell>
          <cell r="C325">
            <v>0</v>
          </cell>
          <cell r="D325">
            <v>1168.9660802002227</v>
          </cell>
          <cell r="E325">
            <v>0</v>
          </cell>
          <cell r="F325">
            <v>0</v>
          </cell>
          <cell r="G325">
            <v>0</v>
          </cell>
          <cell r="H325">
            <v>0</v>
          </cell>
          <cell r="I325">
            <v>0</v>
          </cell>
          <cell r="J325">
            <v>23193.150736817908</v>
          </cell>
        </row>
        <row r="326">
          <cell r="A326">
            <v>308</v>
          </cell>
          <cell r="B326">
            <v>48976</v>
          </cell>
          <cell r="C326">
            <v>0</v>
          </cell>
          <cell r="D326">
            <v>1168.9660802002227</v>
          </cell>
          <cell r="E326">
            <v>0</v>
          </cell>
          <cell r="F326">
            <v>0</v>
          </cell>
          <cell r="G326">
            <v>0</v>
          </cell>
          <cell r="H326">
            <v>0</v>
          </cell>
          <cell r="I326">
            <v>0</v>
          </cell>
          <cell r="J326">
            <v>23193.150736817908</v>
          </cell>
        </row>
        <row r="327">
          <cell r="A327">
            <v>309</v>
          </cell>
          <cell r="B327">
            <v>49004</v>
          </cell>
          <cell r="C327">
            <v>0</v>
          </cell>
          <cell r="D327">
            <v>1168.9660802002227</v>
          </cell>
          <cell r="E327">
            <v>0</v>
          </cell>
          <cell r="F327">
            <v>0</v>
          </cell>
          <cell r="G327">
            <v>0</v>
          </cell>
          <cell r="H327">
            <v>0</v>
          </cell>
          <cell r="I327">
            <v>0</v>
          </cell>
          <cell r="J327">
            <v>23193.150736817908</v>
          </cell>
        </row>
        <row r="328">
          <cell r="A328">
            <v>310</v>
          </cell>
          <cell r="B328">
            <v>49035</v>
          </cell>
          <cell r="C328">
            <v>0</v>
          </cell>
          <cell r="D328">
            <v>1168.9660802002227</v>
          </cell>
          <cell r="E328">
            <v>0</v>
          </cell>
          <cell r="F328">
            <v>0</v>
          </cell>
          <cell r="G328">
            <v>0</v>
          </cell>
          <cell r="H328">
            <v>0</v>
          </cell>
          <cell r="I328">
            <v>0</v>
          </cell>
          <cell r="J328">
            <v>23193.150736817908</v>
          </cell>
        </row>
        <row r="329">
          <cell r="A329">
            <v>311</v>
          </cell>
          <cell r="B329">
            <v>49065</v>
          </cell>
          <cell r="C329">
            <v>0</v>
          </cell>
          <cell r="D329">
            <v>1168.9660802002227</v>
          </cell>
          <cell r="E329">
            <v>0</v>
          </cell>
          <cell r="F329">
            <v>0</v>
          </cell>
          <cell r="G329">
            <v>0</v>
          </cell>
          <cell r="H329">
            <v>0</v>
          </cell>
          <cell r="I329">
            <v>0</v>
          </cell>
          <cell r="J329">
            <v>23193.150736817908</v>
          </cell>
        </row>
        <row r="330">
          <cell r="A330">
            <v>312</v>
          </cell>
          <cell r="B330">
            <v>49096</v>
          </cell>
          <cell r="C330">
            <v>0</v>
          </cell>
          <cell r="D330">
            <v>1168.9660802002227</v>
          </cell>
          <cell r="E330">
            <v>0</v>
          </cell>
          <cell r="F330">
            <v>0</v>
          </cell>
          <cell r="G330">
            <v>0</v>
          </cell>
          <cell r="H330">
            <v>0</v>
          </cell>
          <cell r="I330">
            <v>0</v>
          </cell>
          <cell r="J330">
            <v>23193.150736817908</v>
          </cell>
        </row>
        <row r="331">
          <cell r="A331">
            <v>313</v>
          </cell>
          <cell r="B331">
            <v>49126</v>
          </cell>
          <cell r="C331">
            <v>0</v>
          </cell>
          <cell r="D331">
            <v>1168.9660802002227</v>
          </cell>
          <cell r="E331">
            <v>0</v>
          </cell>
          <cell r="F331">
            <v>0</v>
          </cell>
          <cell r="G331">
            <v>0</v>
          </cell>
          <cell r="H331">
            <v>0</v>
          </cell>
          <cell r="I331">
            <v>0</v>
          </cell>
          <cell r="J331">
            <v>23193.150736817908</v>
          </cell>
        </row>
        <row r="332">
          <cell r="A332">
            <v>314</v>
          </cell>
          <cell r="B332">
            <v>49157</v>
          </cell>
          <cell r="C332">
            <v>0</v>
          </cell>
          <cell r="D332">
            <v>1168.9660802002227</v>
          </cell>
          <cell r="E332">
            <v>0</v>
          </cell>
          <cell r="F332">
            <v>0</v>
          </cell>
          <cell r="G332">
            <v>0</v>
          </cell>
          <cell r="H332">
            <v>0</v>
          </cell>
          <cell r="I332">
            <v>0</v>
          </cell>
          <cell r="J332">
            <v>23193.150736817908</v>
          </cell>
        </row>
        <row r="333">
          <cell r="A333">
            <v>315</v>
          </cell>
          <cell r="B333">
            <v>49188</v>
          </cell>
          <cell r="C333">
            <v>0</v>
          </cell>
          <cell r="D333">
            <v>1168.9660802002227</v>
          </cell>
          <cell r="E333">
            <v>0</v>
          </cell>
          <cell r="F333">
            <v>0</v>
          </cell>
          <cell r="G333">
            <v>0</v>
          </cell>
          <cell r="H333">
            <v>0</v>
          </cell>
          <cell r="I333">
            <v>0</v>
          </cell>
          <cell r="J333">
            <v>23193.150736817908</v>
          </cell>
        </row>
        <row r="334">
          <cell r="A334">
            <v>316</v>
          </cell>
          <cell r="B334">
            <v>49218</v>
          </cell>
          <cell r="C334">
            <v>0</v>
          </cell>
          <cell r="D334">
            <v>1168.9660802002227</v>
          </cell>
          <cell r="E334">
            <v>0</v>
          </cell>
          <cell r="F334">
            <v>0</v>
          </cell>
          <cell r="G334">
            <v>0</v>
          </cell>
          <cell r="H334">
            <v>0</v>
          </cell>
          <cell r="I334">
            <v>0</v>
          </cell>
          <cell r="J334">
            <v>23193.150736817908</v>
          </cell>
        </row>
        <row r="335">
          <cell r="A335">
            <v>317</v>
          </cell>
          <cell r="B335">
            <v>49249</v>
          </cell>
          <cell r="C335">
            <v>0</v>
          </cell>
          <cell r="D335">
            <v>1168.9660802002227</v>
          </cell>
          <cell r="E335">
            <v>0</v>
          </cell>
          <cell r="F335">
            <v>0</v>
          </cell>
          <cell r="G335">
            <v>0</v>
          </cell>
          <cell r="H335">
            <v>0</v>
          </cell>
          <cell r="I335">
            <v>0</v>
          </cell>
          <cell r="J335">
            <v>23193.150736817908</v>
          </cell>
        </row>
        <row r="336">
          <cell r="A336">
            <v>318</v>
          </cell>
          <cell r="B336">
            <v>49279</v>
          </cell>
          <cell r="C336">
            <v>0</v>
          </cell>
          <cell r="D336">
            <v>1168.9660802002227</v>
          </cell>
          <cell r="E336">
            <v>0</v>
          </cell>
          <cell r="F336">
            <v>0</v>
          </cell>
          <cell r="G336">
            <v>0</v>
          </cell>
          <cell r="H336">
            <v>0</v>
          </cell>
          <cell r="I336">
            <v>0</v>
          </cell>
          <cell r="J336">
            <v>23193.150736817908</v>
          </cell>
        </row>
        <row r="337">
          <cell r="A337">
            <v>319</v>
          </cell>
          <cell r="B337">
            <v>49310</v>
          </cell>
          <cell r="C337">
            <v>0</v>
          </cell>
          <cell r="D337">
            <v>1168.9660802002227</v>
          </cell>
          <cell r="E337">
            <v>0</v>
          </cell>
          <cell r="F337">
            <v>0</v>
          </cell>
          <cell r="G337">
            <v>0</v>
          </cell>
          <cell r="H337">
            <v>0</v>
          </cell>
          <cell r="I337">
            <v>0</v>
          </cell>
          <cell r="J337">
            <v>23193.150736817908</v>
          </cell>
        </row>
        <row r="338">
          <cell r="A338">
            <v>320</v>
          </cell>
          <cell r="B338">
            <v>49341</v>
          </cell>
          <cell r="C338">
            <v>0</v>
          </cell>
          <cell r="D338">
            <v>1168.9660802002227</v>
          </cell>
          <cell r="E338">
            <v>0</v>
          </cell>
          <cell r="F338">
            <v>0</v>
          </cell>
          <cell r="G338">
            <v>0</v>
          </cell>
          <cell r="H338">
            <v>0</v>
          </cell>
          <cell r="I338">
            <v>0</v>
          </cell>
          <cell r="J338">
            <v>23193.150736817908</v>
          </cell>
        </row>
        <row r="339">
          <cell r="A339">
            <v>321</v>
          </cell>
          <cell r="B339">
            <v>49369</v>
          </cell>
          <cell r="C339">
            <v>0</v>
          </cell>
          <cell r="D339">
            <v>1168.9660802002227</v>
          </cell>
          <cell r="E339">
            <v>0</v>
          </cell>
          <cell r="F339">
            <v>0</v>
          </cell>
          <cell r="G339">
            <v>0</v>
          </cell>
          <cell r="H339">
            <v>0</v>
          </cell>
          <cell r="I339">
            <v>0</v>
          </cell>
          <cell r="J339">
            <v>23193.150736817908</v>
          </cell>
        </row>
        <row r="340">
          <cell r="A340">
            <v>322</v>
          </cell>
          <cell r="B340">
            <v>49400</v>
          </cell>
          <cell r="C340">
            <v>0</v>
          </cell>
          <cell r="D340">
            <v>1168.9660802002227</v>
          </cell>
          <cell r="E340">
            <v>0</v>
          </cell>
          <cell r="F340">
            <v>0</v>
          </cell>
          <cell r="G340">
            <v>0</v>
          </cell>
          <cell r="H340">
            <v>0</v>
          </cell>
          <cell r="I340">
            <v>0</v>
          </cell>
          <cell r="J340">
            <v>23193.150736817908</v>
          </cell>
        </row>
        <row r="341">
          <cell r="A341">
            <v>323</v>
          </cell>
          <cell r="B341">
            <v>49430</v>
          </cell>
          <cell r="C341">
            <v>0</v>
          </cell>
          <cell r="D341">
            <v>1168.9660802002227</v>
          </cell>
          <cell r="E341">
            <v>0</v>
          </cell>
          <cell r="F341">
            <v>0</v>
          </cell>
          <cell r="G341">
            <v>0</v>
          </cell>
          <cell r="H341">
            <v>0</v>
          </cell>
          <cell r="I341">
            <v>0</v>
          </cell>
          <cell r="J341">
            <v>23193.150736817908</v>
          </cell>
        </row>
        <row r="342">
          <cell r="A342">
            <v>324</v>
          </cell>
          <cell r="B342">
            <v>49461</v>
          </cell>
          <cell r="C342">
            <v>0</v>
          </cell>
          <cell r="D342">
            <v>1168.9660802002227</v>
          </cell>
          <cell r="E342">
            <v>0</v>
          </cell>
          <cell r="F342">
            <v>0</v>
          </cell>
          <cell r="G342">
            <v>0</v>
          </cell>
          <cell r="H342">
            <v>0</v>
          </cell>
          <cell r="I342">
            <v>0</v>
          </cell>
          <cell r="J342">
            <v>23193.150736817908</v>
          </cell>
        </row>
        <row r="343">
          <cell r="A343">
            <v>325</v>
          </cell>
          <cell r="B343">
            <v>49491</v>
          </cell>
          <cell r="C343">
            <v>0</v>
          </cell>
          <cell r="D343">
            <v>1168.9660802002227</v>
          </cell>
          <cell r="E343">
            <v>0</v>
          </cell>
          <cell r="F343">
            <v>0</v>
          </cell>
          <cell r="G343">
            <v>0</v>
          </cell>
          <cell r="H343">
            <v>0</v>
          </cell>
          <cell r="I343">
            <v>0</v>
          </cell>
          <cell r="J343">
            <v>23193.150736817908</v>
          </cell>
        </row>
        <row r="344">
          <cell r="A344">
            <v>326</v>
          </cell>
          <cell r="B344">
            <v>49522</v>
          </cell>
          <cell r="C344">
            <v>0</v>
          </cell>
          <cell r="D344">
            <v>1168.9660802002227</v>
          </cell>
          <cell r="E344">
            <v>0</v>
          </cell>
          <cell r="F344">
            <v>0</v>
          </cell>
          <cell r="G344">
            <v>0</v>
          </cell>
          <cell r="H344">
            <v>0</v>
          </cell>
          <cell r="I344">
            <v>0</v>
          </cell>
          <cell r="J344">
            <v>23193.150736817908</v>
          </cell>
        </row>
        <row r="345">
          <cell r="A345">
            <v>327</v>
          </cell>
          <cell r="B345">
            <v>49553</v>
          </cell>
          <cell r="C345">
            <v>0</v>
          </cell>
          <cell r="D345">
            <v>1168.9660802002227</v>
          </cell>
          <cell r="E345">
            <v>0</v>
          </cell>
          <cell r="F345">
            <v>0</v>
          </cell>
          <cell r="G345">
            <v>0</v>
          </cell>
          <cell r="H345">
            <v>0</v>
          </cell>
          <cell r="I345">
            <v>0</v>
          </cell>
          <cell r="J345">
            <v>23193.150736817908</v>
          </cell>
        </row>
        <row r="346">
          <cell r="A346">
            <v>328</v>
          </cell>
          <cell r="B346">
            <v>49583</v>
          </cell>
          <cell r="C346">
            <v>0</v>
          </cell>
          <cell r="D346">
            <v>1168.9660802002227</v>
          </cell>
          <cell r="E346">
            <v>0</v>
          </cell>
          <cell r="F346">
            <v>0</v>
          </cell>
          <cell r="G346">
            <v>0</v>
          </cell>
          <cell r="H346">
            <v>0</v>
          </cell>
          <cell r="I346">
            <v>0</v>
          </cell>
          <cell r="J346">
            <v>23193.150736817908</v>
          </cell>
        </row>
        <row r="347">
          <cell r="A347">
            <v>329</v>
          </cell>
          <cell r="B347">
            <v>49614</v>
          </cell>
          <cell r="C347">
            <v>0</v>
          </cell>
          <cell r="D347">
            <v>1168.9660802002227</v>
          </cell>
          <cell r="E347">
            <v>0</v>
          </cell>
          <cell r="F347">
            <v>0</v>
          </cell>
          <cell r="G347">
            <v>0</v>
          </cell>
          <cell r="H347">
            <v>0</v>
          </cell>
          <cell r="I347">
            <v>0</v>
          </cell>
          <cell r="J347">
            <v>23193.150736817908</v>
          </cell>
        </row>
        <row r="348">
          <cell r="A348">
            <v>330</v>
          </cell>
          <cell r="B348">
            <v>49644</v>
          </cell>
          <cell r="C348">
            <v>0</v>
          </cell>
          <cell r="D348">
            <v>1168.9660802002227</v>
          </cell>
          <cell r="E348">
            <v>0</v>
          </cell>
          <cell r="F348">
            <v>0</v>
          </cell>
          <cell r="G348">
            <v>0</v>
          </cell>
          <cell r="H348">
            <v>0</v>
          </cell>
          <cell r="I348">
            <v>0</v>
          </cell>
          <cell r="J348">
            <v>23193.150736817908</v>
          </cell>
        </row>
        <row r="349">
          <cell r="A349">
            <v>331</v>
          </cell>
          <cell r="B349">
            <v>49675</v>
          </cell>
          <cell r="C349">
            <v>0</v>
          </cell>
          <cell r="D349">
            <v>1168.9660802002227</v>
          </cell>
          <cell r="E349">
            <v>0</v>
          </cell>
          <cell r="F349">
            <v>0</v>
          </cell>
          <cell r="G349">
            <v>0</v>
          </cell>
          <cell r="H349">
            <v>0</v>
          </cell>
          <cell r="I349">
            <v>0</v>
          </cell>
          <cell r="J349">
            <v>23193.150736817908</v>
          </cell>
        </row>
        <row r="350">
          <cell r="A350">
            <v>332</v>
          </cell>
          <cell r="B350">
            <v>49706</v>
          </cell>
          <cell r="C350">
            <v>0</v>
          </cell>
          <cell r="D350">
            <v>1168.9660802002227</v>
          </cell>
          <cell r="E350">
            <v>0</v>
          </cell>
          <cell r="F350">
            <v>0</v>
          </cell>
          <cell r="G350">
            <v>0</v>
          </cell>
          <cell r="H350">
            <v>0</v>
          </cell>
          <cell r="I350">
            <v>0</v>
          </cell>
          <cell r="J350">
            <v>23193.150736817908</v>
          </cell>
        </row>
        <row r="351">
          <cell r="A351">
            <v>333</v>
          </cell>
          <cell r="B351">
            <v>49735</v>
          </cell>
          <cell r="C351">
            <v>0</v>
          </cell>
          <cell r="D351">
            <v>1168.9660802002227</v>
          </cell>
          <cell r="E351">
            <v>0</v>
          </cell>
          <cell r="F351">
            <v>0</v>
          </cell>
          <cell r="G351">
            <v>0</v>
          </cell>
          <cell r="H351">
            <v>0</v>
          </cell>
          <cell r="I351">
            <v>0</v>
          </cell>
          <cell r="J351">
            <v>23193.150736817908</v>
          </cell>
        </row>
        <row r="352">
          <cell r="A352">
            <v>334</v>
          </cell>
          <cell r="B352">
            <v>49766</v>
          </cell>
          <cell r="C352">
            <v>0</v>
          </cell>
          <cell r="D352">
            <v>1168.9660802002227</v>
          </cell>
          <cell r="E352">
            <v>0</v>
          </cell>
          <cell r="F352">
            <v>0</v>
          </cell>
          <cell r="G352">
            <v>0</v>
          </cell>
          <cell r="H352">
            <v>0</v>
          </cell>
          <cell r="I352">
            <v>0</v>
          </cell>
          <cell r="J352">
            <v>23193.150736817908</v>
          </cell>
        </row>
        <row r="353">
          <cell r="A353">
            <v>335</v>
          </cell>
          <cell r="B353">
            <v>49796</v>
          </cell>
          <cell r="C353">
            <v>0</v>
          </cell>
          <cell r="D353">
            <v>1168.9660802002227</v>
          </cell>
          <cell r="E353">
            <v>0</v>
          </cell>
          <cell r="F353">
            <v>0</v>
          </cell>
          <cell r="G353">
            <v>0</v>
          </cell>
          <cell r="H353">
            <v>0</v>
          </cell>
          <cell r="I353">
            <v>0</v>
          </cell>
          <cell r="J353">
            <v>23193.150736817908</v>
          </cell>
        </row>
        <row r="354">
          <cell r="A354">
            <v>336</v>
          </cell>
          <cell r="B354">
            <v>49827</v>
          </cell>
          <cell r="C354">
            <v>0</v>
          </cell>
          <cell r="D354">
            <v>1168.9660802002227</v>
          </cell>
          <cell r="E354">
            <v>0</v>
          </cell>
          <cell r="F354">
            <v>0</v>
          </cell>
          <cell r="G354">
            <v>0</v>
          </cell>
          <cell r="H354">
            <v>0</v>
          </cell>
          <cell r="I354">
            <v>0</v>
          </cell>
          <cell r="J354">
            <v>23193.150736817908</v>
          </cell>
        </row>
        <row r="355">
          <cell r="A355">
            <v>337</v>
          </cell>
          <cell r="B355">
            <v>49857</v>
          </cell>
          <cell r="C355">
            <v>0</v>
          </cell>
          <cell r="D355">
            <v>1168.9660802002227</v>
          </cell>
          <cell r="E355">
            <v>0</v>
          </cell>
          <cell r="F355">
            <v>0</v>
          </cell>
          <cell r="G355">
            <v>0</v>
          </cell>
          <cell r="H355">
            <v>0</v>
          </cell>
          <cell r="I355">
            <v>0</v>
          </cell>
          <cell r="J355">
            <v>23193.150736817908</v>
          </cell>
        </row>
        <row r="356">
          <cell r="A356">
            <v>338</v>
          </cell>
          <cell r="B356">
            <v>49888</v>
          </cell>
          <cell r="C356">
            <v>0</v>
          </cell>
          <cell r="D356">
            <v>1168.9660802002227</v>
          </cell>
          <cell r="E356">
            <v>0</v>
          </cell>
          <cell r="F356">
            <v>0</v>
          </cell>
          <cell r="G356">
            <v>0</v>
          </cell>
          <cell r="H356">
            <v>0</v>
          </cell>
          <cell r="I356">
            <v>0</v>
          </cell>
          <cell r="J356">
            <v>23193.150736817908</v>
          </cell>
        </row>
        <row r="357">
          <cell r="A357">
            <v>339</v>
          </cell>
          <cell r="B357">
            <v>49919</v>
          </cell>
          <cell r="C357">
            <v>0</v>
          </cell>
          <cell r="D357">
            <v>1168.9660802002227</v>
          </cell>
          <cell r="E357">
            <v>0</v>
          </cell>
          <cell r="F357">
            <v>0</v>
          </cell>
          <cell r="G357">
            <v>0</v>
          </cell>
          <cell r="H357">
            <v>0</v>
          </cell>
          <cell r="I357">
            <v>0</v>
          </cell>
          <cell r="J357">
            <v>23193.150736817908</v>
          </cell>
        </row>
        <row r="358">
          <cell r="A358">
            <v>340</v>
          </cell>
          <cell r="B358">
            <v>49949</v>
          </cell>
          <cell r="C358">
            <v>0</v>
          </cell>
          <cell r="D358">
            <v>1168.9660802002227</v>
          </cell>
          <cell r="E358">
            <v>0</v>
          </cell>
          <cell r="F358">
            <v>0</v>
          </cell>
          <cell r="G358">
            <v>0</v>
          </cell>
          <cell r="H358">
            <v>0</v>
          </cell>
          <cell r="I358">
            <v>0</v>
          </cell>
          <cell r="J358">
            <v>23193.150736817908</v>
          </cell>
        </row>
        <row r="359">
          <cell r="A359">
            <v>341</v>
          </cell>
          <cell r="B359">
            <v>49980</v>
          </cell>
          <cell r="C359">
            <v>0</v>
          </cell>
          <cell r="D359">
            <v>1168.9660802002227</v>
          </cell>
          <cell r="E359">
            <v>0</v>
          </cell>
          <cell r="F359">
            <v>0</v>
          </cell>
          <cell r="G359">
            <v>0</v>
          </cell>
          <cell r="H359">
            <v>0</v>
          </cell>
          <cell r="I359">
            <v>0</v>
          </cell>
          <cell r="J359">
            <v>23193.150736817908</v>
          </cell>
        </row>
        <row r="360">
          <cell r="A360">
            <v>342</v>
          </cell>
          <cell r="B360">
            <v>50010</v>
          </cell>
          <cell r="C360">
            <v>0</v>
          </cell>
          <cell r="D360">
            <v>1168.9660802002227</v>
          </cell>
          <cell r="E360">
            <v>0</v>
          </cell>
          <cell r="F360">
            <v>0</v>
          </cell>
          <cell r="G360">
            <v>0</v>
          </cell>
          <cell r="H360">
            <v>0</v>
          </cell>
          <cell r="I360">
            <v>0</v>
          </cell>
          <cell r="J360">
            <v>23193.150736817908</v>
          </cell>
        </row>
        <row r="361">
          <cell r="A361">
            <v>343</v>
          </cell>
          <cell r="B361">
            <v>50041</v>
          </cell>
          <cell r="C361">
            <v>0</v>
          </cell>
          <cell r="D361">
            <v>1168.9660802002227</v>
          </cell>
          <cell r="E361">
            <v>0</v>
          </cell>
          <cell r="F361">
            <v>0</v>
          </cell>
          <cell r="G361">
            <v>0</v>
          </cell>
          <cell r="H361">
            <v>0</v>
          </cell>
          <cell r="I361">
            <v>0</v>
          </cell>
          <cell r="J361">
            <v>23193.150736817908</v>
          </cell>
        </row>
        <row r="362">
          <cell r="A362">
            <v>344</v>
          </cell>
          <cell r="B362">
            <v>50072</v>
          </cell>
          <cell r="C362">
            <v>0</v>
          </cell>
          <cell r="D362">
            <v>1168.9660802002227</v>
          </cell>
          <cell r="E362">
            <v>0</v>
          </cell>
          <cell r="F362">
            <v>0</v>
          </cell>
          <cell r="G362">
            <v>0</v>
          </cell>
          <cell r="H362">
            <v>0</v>
          </cell>
          <cell r="I362">
            <v>0</v>
          </cell>
          <cell r="J362">
            <v>23193.150736817908</v>
          </cell>
        </row>
        <row r="363">
          <cell r="A363">
            <v>345</v>
          </cell>
          <cell r="B363">
            <v>50100</v>
          </cell>
          <cell r="C363">
            <v>0</v>
          </cell>
          <cell r="D363">
            <v>1168.9660802002227</v>
          </cell>
          <cell r="E363">
            <v>0</v>
          </cell>
          <cell r="F363">
            <v>0</v>
          </cell>
          <cell r="G363">
            <v>0</v>
          </cell>
          <cell r="H363">
            <v>0</v>
          </cell>
          <cell r="I363">
            <v>0</v>
          </cell>
          <cell r="J363">
            <v>23193.150736817908</v>
          </cell>
        </row>
        <row r="364">
          <cell r="A364">
            <v>346</v>
          </cell>
          <cell r="B364">
            <v>50131</v>
          </cell>
          <cell r="C364">
            <v>0</v>
          </cell>
          <cell r="D364">
            <v>1168.9660802002227</v>
          </cell>
          <cell r="E364">
            <v>0</v>
          </cell>
          <cell r="F364">
            <v>0</v>
          </cell>
          <cell r="G364">
            <v>0</v>
          </cell>
          <cell r="H364">
            <v>0</v>
          </cell>
          <cell r="I364">
            <v>0</v>
          </cell>
          <cell r="J364">
            <v>23193.150736817908</v>
          </cell>
        </row>
        <row r="365">
          <cell r="A365">
            <v>347</v>
          </cell>
          <cell r="B365">
            <v>50161</v>
          </cell>
          <cell r="C365">
            <v>0</v>
          </cell>
          <cell r="D365">
            <v>1168.9660802002227</v>
          </cell>
          <cell r="E365">
            <v>0</v>
          </cell>
          <cell r="F365">
            <v>0</v>
          </cell>
          <cell r="G365">
            <v>0</v>
          </cell>
          <cell r="H365">
            <v>0</v>
          </cell>
          <cell r="I365">
            <v>0</v>
          </cell>
          <cell r="J365">
            <v>23193.150736817908</v>
          </cell>
        </row>
        <row r="366">
          <cell r="A366">
            <v>348</v>
          </cell>
          <cell r="B366">
            <v>50192</v>
          </cell>
          <cell r="C366">
            <v>0</v>
          </cell>
          <cell r="D366">
            <v>1168.9660802002227</v>
          </cell>
          <cell r="E366">
            <v>0</v>
          </cell>
          <cell r="F366">
            <v>0</v>
          </cell>
          <cell r="G366">
            <v>0</v>
          </cell>
          <cell r="H366">
            <v>0</v>
          </cell>
          <cell r="I366">
            <v>0</v>
          </cell>
          <cell r="J366">
            <v>23193.150736817908</v>
          </cell>
        </row>
        <row r="367">
          <cell r="A367">
            <v>349</v>
          </cell>
          <cell r="B367">
            <v>50222</v>
          </cell>
          <cell r="C367">
            <v>0</v>
          </cell>
          <cell r="D367">
            <v>1168.9660802002227</v>
          </cell>
          <cell r="E367">
            <v>0</v>
          </cell>
          <cell r="F367">
            <v>0</v>
          </cell>
          <cell r="G367">
            <v>0</v>
          </cell>
          <cell r="H367">
            <v>0</v>
          </cell>
          <cell r="I367">
            <v>0</v>
          </cell>
          <cell r="J367">
            <v>23193.150736817908</v>
          </cell>
        </row>
        <row r="368">
          <cell r="A368">
            <v>350</v>
          </cell>
          <cell r="B368">
            <v>50253</v>
          </cell>
          <cell r="C368">
            <v>0</v>
          </cell>
          <cell r="D368">
            <v>1168.9660802002227</v>
          </cell>
          <cell r="E368">
            <v>0</v>
          </cell>
          <cell r="F368">
            <v>0</v>
          </cell>
          <cell r="G368">
            <v>0</v>
          </cell>
          <cell r="H368">
            <v>0</v>
          </cell>
          <cell r="I368">
            <v>0</v>
          </cell>
          <cell r="J368">
            <v>23193.150736817908</v>
          </cell>
        </row>
        <row r="369">
          <cell r="A369">
            <v>351</v>
          </cell>
          <cell r="B369">
            <v>50284</v>
          </cell>
          <cell r="C369">
            <v>0</v>
          </cell>
          <cell r="D369">
            <v>1168.9660802002227</v>
          </cell>
          <cell r="E369">
            <v>0</v>
          </cell>
          <cell r="F369">
            <v>0</v>
          </cell>
          <cell r="G369">
            <v>0</v>
          </cell>
          <cell r="H369">
            <v>0</v>
          </cell>
          <cell r="I369">
            <v>0</v>
          </cell>
          <cell r="J369">
            <v>23193.150736817908</v>
          </cell>
        </row>
        <row r="370">
          <cell r="A370">
            <v>352</v>
          </cell>
          <cell r="B370">
            <v>50314</v>
          </cell>
          <cell r="C370">
            <v>0</v>
          </cell>
          <cell r="D370">
            <v>1168.9660802002227</v>
          </cell>
          <cell r="E370">
            <v>0</v>
          </cell>
          <cell r="F370">
            <v>0</v>
          </cell>
          <cell r="G370">
            <v>0</v>
          </cell>
          <cell r="H370">
            <v>0</v>
          </cell>
          <cell r="I370">
            <v>0</v>
          </cell>
          <cell r="J370">
            <v>23193.150736817908</v>
          </cell>
        </row>
        <row r="371">
          <cell r="A371">
            <v>353</v>
          </cell>
          <cell r="B371">
            <v>50345</v>
          </cell>
          <cell r="C371">
            <v>0</v>
          </cell>
          <cell r="D371">
            <v>1168.9660802002227</v>
          </cell>
          <cell r="E371">
            <v>0</v>
          </cell>
          <cell r="F371">
            <v>0</v>
          </cell>
          <cell r="G371">
            <v>0</v>
          </cell>
          <cell r="H371">
            <v>0</v>
          </cell>
          <cell r="I371">
            <v>0</v>
          </cell>
          <cell r="J371">
            <v>23193.150736817908</v>
          </cell>
        </row>
        <row r="372">
          <cell r="A372">
            <v>354</v>
          </cell>
          <cell r="B372">
            <v>50375</v>
          </cell>
          <cell r="C372">
            <v>0</v>
          </cell>
          <cell r="D372">
            <v>1168.9660802002227</v>
          </cell>
          <cell r="E372">
            <v>0</v>
          </cell>
          <cell r="F372">
            <v>0</v>
          </cell>
          <cell r="G372">
            <v>0</v>
          </cell>
          <cell r="H372">
            <v>0</v>
          </cell>
          <cell r="I372">
            <v>0</v>
          </cell>
          <cell r="J372">
            <v>23193.150736817908</v>
          </cell>
        </row>
        <row r="373">
          <cell r="A373">
            <v>355</v>
          </cell>
          <cell r="B373">
            <v>50406</v>
          </cell>
          <cell r="C373">
            <v>0</v>
          </cell>
          <cell r="D373">
            <v>1168.9660802002227</v>
          </cell>
          <cell r="E373">
            <v>0</v>
          </cell>
          <cell r="F373">
            <v>0</v>
          </cell>
          <cell r="G373">
            <v>0</v>
          </cell>
          <cell r="H373">
            <v>0</v>
          </cell>
          <cell r="I373">
            <v>0</v>
          </cell>
          <cell r="J373">
            <v>23193.150736817908</v>
          </cell>
        </row>
        <row r="374">
          <cell r="A374">
            <v>356</v>
          </cell>
          <cell r="B374">
            <v>50437</v>
          </cell>
          <cell r="C374">
            <v>0</v>
          </cell>
          <cell r="D374">
            <v>1168.9660802002227</v>
          </cell>
          <cell r="E374">
            <v>0</v>
          </cell>
          <cell r="F374">
            <v>0</v>
          </cell>
          <cell r="G374">
            <v>0</v>
          </cell>
          <cell r="H374">
            <v>0</v>
          </cell>
          <cell r="I374">
            <v>0</v>
          </cell>
          <cell r="J374">
            <v>23193.150736817908</v>
          </cell>
        </row>
        <row r="375">
          <cell r="A375">
            <v>357</v>
          </cell>
          <cell r="B375">
            <v>50465</v>
          </cell>
          <cell r="C375">
            <v>0</v>
          </cell>
          <cell r="D375">
            <v>1168.9660802002227</v>
          </cell>
          <cell r="E375">
            <v>0</v>
          </cell>
          <cell r="F375">
            <v>0</v>
          </cell>
          <cell r="G375">
            <v>0</v>
          </cell>
          <cell r="H375">
            <v>0</v>
          </cell>
          <cell r="I375">
            <v>0</v>
          </cell>
          <cell r="J375">
            <v>23193.150736817908</v>
          </cell>
        </row>
        <row r="376">
          <cell r="A376">
            <v>358</v>
          </cell>
          <cell r="B376">
            <v>50496</v>
          </cell>
          <cell r="C376">
            <v>0</v>
          </cell>
          <cell r="D376">
            <v>1168.9660802002227</v>
          </cell>
          <cell r="E376">
            <v>0</v>
          </cell>
          <cell r="F376">
            <v>0</v>
          </cell>
          <cell r="G376">
            <v>0</v>
          </cell>
          <cell r="H376">
            <v>0</v>
          </cell>
          <cell r="I376">
            <v>0</v>
          </cell>
          <cell r="J376">
            <v>23193.150736817908</v>
          </cell>
        </row>
        <row r="377">
          <cell r="A377">
            <v>359</v>
          </cell>
          <cell r="B377">
            <v>50526</v>
          </cell>
          <cell r="C377">
            <v>0</v>
          </cell>
          <cell r="D377">
            <v>1168.9660802002227</v>
          </cell>
          <cell r="E377">
            <v>0</v>
          </cell>
          <cell r="F377">
            <v>0</v>
          </cell>
          <cell r="G377">
            <v>0</v>
          </cell>
          <cell r="H377">
            <v>0</v>
          </cell>
          <cell r="I377">
            <v>0</v>
          </cell>
          <cell r="J377">
            <v>23193.150736817908</v>
          </cell>
        </row>
        <row r="378">
          <cell r="A378">
            <v>360</v>
          </cell>
          <cell r="B378">
            <v>50557</v>
          </cell>
          <cell r="C378">
            <v>0</v>
          </cell>
          <cell r="D378">
            <v>1168.9660802002227</v>
          </cell>
          <cell r="E378">
            <v>0</v>
          </cell>
          <cell r="F378">
            <v>0</v>
          </cell>
          <cell r="G378">
            <v>0</v>
          </cell>
          <cell r="H378">
            <v>0</v>
          </cell>
          <cell r="I378">
            <v>0</v>
          </cell>
          <cell r="J378">
            <v>23193.150736817908</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54"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ctrlProp" Target="../ctrlProps/ctrlProp2.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trlProp" Target="../ctrlProps/ctrlProp1.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8" Type="http://schemas.openxmlformats.org/officeDocument/2006/relationships/control" Target="../activeX/activeX3.xml"/><Relationship Id="rId51" Type="http://schemas.openxmlformats.org/officeDocument/2006/relationships/image" Target="../media/image24.emf"/></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sheetPr>
  <dimension ref="A2:J8"/>
  <sheetViews>
    <sheetView workbookViewId="0">
      <selection activeCell="C24" sqref="C24"/>
    </sheetView>
  </sheetViews>
  <sheetFormatPr defaultRowHeight="15"/>
  <cols>
    <col min="1" max="1" width="26.85546875" customWidth="1"/>
    <col min="2" max="2" width="11.140625" bestFit="1" customWidth="1"/>
    <col min="10" max="10" width="12.85546875" customWidth="1"/>
  </cols>
  <sheetData>
    <row r="2" spans="1:10">
      <c r="A2" s="1" t="s">
        <v>82</v>
      </c>
      <c r="C2" s="19" t="s">
        <v>83</v>
      </c>
    </row>
    <row r="3" spans="1:10">
      <c r="A3" s="1" t="s">
        <v>89</v>
      </c>
      <c r="C3" s="109" t="s">
        <v>84</v>
      </c>
    </row>
    <row r="4" spans="1:10">
      <c r="A4" s="25" t="s">
        <v>87</v>
      </c>
      <c r="C4" s="20"/>
    </row>
    <row r="5" spans="1:10">
      <c r="A5" s="22" t="s">
        <v>86</v>
      </c>
      <c r="C5" s="28" t="s">
        <v>85</v>
      </c>
    </row>
    <row r="7" spans="1:10" ht="18.75">
      <c r="A7" s="111" t="s">
        <v>153</v>
      </c>
      <c r="F7" s="44" t="s">
        <v>88</v>
      </c>
      <c r="G7" s="44"/>
      <c r="H7" s="44"/>
      <c r="I7" s="44"/>
      <c r="J7" s="44"/>
    </row>
    <row r="8" spans="1:10">
      <c r="A8" t="s">
        <v>154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Q104"/>
  <sheetViews>
    <sheetView showGridLines="0" topLeftCell="A40" workbookViewId="0">
      <selection activeCell="B38" sqref="B38"/>
    </sheetView>
  </sheetViews>
  <sheetFormatPr defaultRowHeight="12.75"/>
  <cols>
    <col min="1" max="1" width="20.7109375" style="216" customWidth="1"/>
    <col min="2" max="2" width="13.7109375" style="216" customWidth="1"/>
    <col min="3" max="3" width="11.5703125" style="216" customWidth="1"/>
    <col min="4" max="4" width="12.140625" style="216" customWidth="1"/>
    <col min="5" max="5" width="15.28515625" style="216" customWidth="1"/>
    <col min="6" max="6" width="4.28515625" style="216" customWidth="1"/>
    <col min="7" max="256" width="9.140625" style="216"/>
    <col min="257" max="257" width="20.7109375" style="216" customWidth="1"/>
    <col min="258" max="258" width="13.7109375" style="216" customWidth="1"/>
    <col min="259" max="259" width="11.5703125" style="216" customWidth="1"/>
    <col min="260" max="260" width="12.140625" style="216" customWidth="1"/>
    <col min="261" max="261" width="15.28515625" style="216" customWidth="1"/>
    <col min="262" max="262" width="4.28515625" style="216" customWidth="1"/>
    <col min="263" max="512" width="9.140625" style="216"/>
    <col min="513" max="513" width="20.7109375" style="216" customWidth="1"/>
    <col min="514" max="514" width="13.7109375" style="216" customWidth="1"/>
    <col min="515" max="515" width="11.5703125" style="216" customWidth="1"/>
    <col min="516" max="516" width="12.140625" style="216" customWidth="1"/>
    <col min="517" max="517" width="15.28515625" style="216" customWidth="1"/>
    <col min="518" max="518" width="4.28515625" style="216" customWidth="1"/>
    <col min="519" max="768" width="9.140625" style="216"/>
    <col min="769" max="769" width="20.7109375" style="216" customWidth="1"/>
    <col min="770" max="770" width="13.7109375" style="216" customWidth="1"/>
    <col min="771" max="771" width="11.5703125" style="216" customWidth="1"/>
    <col min="772" max="772" width="12.140625" style="216" customWidth="1"/>
    <col min="773" max="773" width="15.28515625" style="216" customWidth="1"/>
    <col min="774" max="774" width="4.28515625" style="216" customWidth="1"/>
    <col min="775" max="1024" width="9.140625" style="216"/>
    <col min="1025" max="1025" width="20.7109375" style="216" customWidth="1"/>
    <col min="1026" max="1026" width="13.7109375" style="216" customWidth="1"/>
    <col min="1027" max="1027" width="11.5703125" style="216" customWidth="1"/>
    <col min="1028" max="1028" width="12.140625" style="216" customWidth="1"/>
    <col min="1029" max="1029" width="15.28515625" style="216" customWidth="1"/>
    <col min="1030" max="1030" width="4.28515625" style="216" customWidth="1"/>
    <col min="1031" max="1280" width="9.140625" style="216"/>
    <col min="1281" max="1281" width="20.7109375" style="216" customWidth="1"/>
    <col min="1282" max="1282" width="13.7109375" style="216" customWidth="1"/>
    <col min="1283" max="1283" width="11.5703125" style="216" customWidth="1"/>
    <col min="1284" max="1284" width="12.140625" style="216" customWidth="1"/>
    <col min="1285" max="1285" width="15.28515625" style="216" customWidth="1"/>
    <col min="1286" max="1286" width="4.28515625" style="216" customWidth="1"/>
    <col min="1287" max="1536" width="9.140625" style="216"/>
    <col min="1537" max="1537" width="20.7109375" style="216" customWidth="1"/>
    <col min="1538" max="1538" width="13.7109375" style="216" customWidth="1"/>
    <col min="1539" max="1539" width="11.5703125" style="216" customWidth="1"/>
    <col min="1540" max="1540" width="12.140625" style="216" customWidth="1"/>
    <col min="1541" max="1541" width="15.28515625" style="216" customWidth="1"/>
    <col min="1542" max="1542" width="4.28515625" style="216" customWidth="1"/>
    <col min="1543" max="1792" width="9.140625" style="216"/>
    <col min="1793" max="1793" width="20.7109375" style="216" customWidth="1"/>
    <col min="1794" max="1794" width="13.7109375" style="216" customWidth="1"/>
    <col min="1795" max="1795" width="11.5703125" style="216" customWidth="1"/>
    <col min="1796" max="1796" width="12.140625" style="216" customWidth="1"/>
    <col min="1797" max="1797" width="15.28515625" style="216" customWidth="1"/>
    <col min="1798" max="1798" width="4.28515625" style="216" customWidth="1"/>
    <col min="1799" max="2048" width="9.140625" style="216"/>
    <col min="2049" max="2049" width="20.7109375" style="216" customWidth="1"/>
    <col min="2050" max="2050" width="13.7109375" style="216" customWidth="1"/>
    <col min="2051" max="2051" width="11.5703125" style="216" customWidth="1"/>
    <col min="2052" max="2052" width="12.140625" style="216" customWidth="1"/>
    <col min="2053" max="2053" width="15.28515625" style="216" customWidth="1"/>
    <col min="2054" max="2054" width="4.28515625" style="216" customWidth="1"/>
    <col min="2055" max="2304" width="9.140625" style="216"/>
    <col min="2305" max="2305" width="20.7109375" style="216" customWidth="1"/>
    <col min="2306" max="2306" width="13.7109375" style="216" customWidth="1"/>
    <col min="2307" max="2307" width="11.5703125" style="216" customWidth="1"/>
    <col min="2308" max="2308" width="12.140625" style="216" customWidth="1"/>
    <col min="2309" max="2309" width="15.28515625" style="216" customWidth="1"/>
    <col min="2310" max="2310" width="4.28515625" style="216" customWidth="1"/>
    <col min="2311" max="2560" width="9.140625" style="216"/>
    <col min="2561" max="2561" width="20.7109375" style="216" customWidth="1"/>
    <col min="2562" max="2562" width="13.7109375" style="216" customWidth="1"/>
    <col min="2563" max="2563" width="11.5703125" style="216" customWidth="1"/>
    <col min="2564" max="2564" width="12.140625" style="216" customWidth="1"/>
    <col min="2565" max="2565" width="15.28515625" style="216" customWidth="1"/>
    <col min="2566" max="2566" width="4.28515625" style="216" customWidth="1"/>
    <col min="2567" max="2816" width="9.140625" style="216"/>
    <col min="2817" max="2817" width="20.7109375" style="216" customWidth="1"/>
    <col min="2818" max="2818" width="13.7109375" style="216" customWidth="1"/>
    <col min="2819" max="2819" width="11.5703125" style="216" customWidth="1"/>
    <col min="2820" max="2820" width="12.140625" style="216" customWidth="1"/>
    <col min="2821" max="2821" width="15.28515625" style="216" customWidth="1"/>
    <col min="2822" max="2822" width="4.28515625" style="216" customWidth="1"/>
    <col min="2823" max="3072" width="9.140625" style="216"/>
    <col min="3073" max="3073" width="20.7109375" style="216" customWidth="1"/>
    <col min="3074" max="3074" width="13.7109375" style="216" customWidth="1"/>
    <col min="3075" max="3075" width="11.5703125" style="216" customWidth="1"/>
    <col min="3076" max="3076" width="12.140625" style="216" customWidth="1"/>
    <col min="3077" max="3077" width="15.28515625" style="216" customWidth="1"/>
    <col min="3078" max="3078" width="4.28515625" style="216" customWidth="1"/>
    <col min="3079" max="3328" width="9.140625" style="216"/>
    <col min="3329" max="3329" width="20.7109375" style="216" customWidth="1"/>
    <col min="3330" max="3330" width="13.7109375" style="216" customWidth="1"/>
    <col min="3331" max="3331" width="11.5703125" style="216" customWidth="1"/>
    <col min="3332" max="3332" width="12.140625" style="216" customWidth="1"/>
    <col min="3333" max="3333" width="15.28515625" style="216" customWidth="1"/>
    <col min="3334" max="3334" width="4.28515625" style="216" customWidth="1"/>
    <col min="3335" max="3584" width="9.140625" style="216"/>
    <col min="3585" max="3585" width="20.7109375" style="216" customWidth="1"/>
    <col min="3586" max="3586" width="13.7109375" style="216" customWidth="1"/>
    <col min="3587" max="3587" width="11.5703125" style="216" customWidth="1"/>
    <col min="3588" max="3588" width="12.140625" style="216" customWidth="1"/>
    <col min="3589" max="3589" width="15.28515625" style="216" customWidth="1"/>
    <col min="3590" max="3590" width="4.28515625" style="216" customWidth="1"/>
    <col min="3591" max="3840" width="9.140625" style="216"/>
    <col min="3841" max="3841" width="20.7109375" style="216" customWidth="1"/>
    <col min="3842" max="3842" width="13.7109375" style="216" customWidth="1"/>
    <col min="3843" max="3843" width="11.5703125" style="216" customWidth="1"/>
    <col min="3844" max="3844" width="12.140625" style="216" customWidth="1"/>
    <col min="3845" max="3845" width="15.28515625" style="216" customWidth="1"/>
    <col min="3846" max="3846" width="4.28515625" style="216" customWidth="1"/>
    <col min="3847" max="4096" width="9.140625" style="216"/>
    <col min="4097" max="4097" width="20.7109375" style="216" customWidth="1"/>
    <col min="4098" max="4098" width="13.7109375" style="216" customWidth="1"/>
    <col min="4099" max="4099" width="11.5703125" style="216" customWidth="1"/>
    <col min="4100" max="4100" width="12.140625" style="216" customWidth="1"/>
    <col min="4101" max="4101" width="15.28515625" style="216" customWidth="1"/>
    <col min="4102" max="4102" width="4.28515625" style="216" customWidth="1"/>
    <col min="4103" max="4352" width="9.140625" style="216"/>
    <col min="4353" max="4353" width="20.7109375" style="216" customWidth="1"/>
    <col min="4354" max="4354" width="13.7109375" style="216" customWidth="1"/>
    <col min="4355" max="4355" width="11.5703125" style="216" customWidth="1"/>
    <col min="4356" max="4356" width="12.140625" style="216" customWidth="1"/>
    <col min="4357" max="4357" width="15.28515625" style="216" customWidth="1"/>
    <col min="4358" max="4358" width="4.28515625" style="216" customWidth="1"/>
    <col min="4359" max="4608" width="9.140625" style="216"/>
    <col min="4609" max="4609" width="20.7109375" style="216" customWidth="1"/>
    <col min="4610" max="4610" width="13.7109375" style="216" customWidth="1"/>
    <col min="4611" max="4611" width="11.5703125" style="216" customWidth="1"/>
    <col min="4612" max="4612" width="12.140625" style="216" customWidth="1"/>
    <col min="4613" max="4613" width="15.28515625" style="216" customWidth="1"/>
    <col min="4614" max="4614" width="4.28515625" style="216" customWidth="1"/>
    <col min="4615" max="4864" width="9.140625" style="216"/>
    <col min="4865" max="4865" width="20.7109375" style="216" customWidth="1"/>
    <col min="4866" max="4866" width="13.7109375" style="216" customWidth="1"/>
    <col min="4867" max="4867" width="11.5703125" style="216" customWidth="1"/>
    <col min="4868" max="4868" width="12.140625" style="216" customWidth="1"/>
    <col min="4869" max="4869" width="15.28515625" style="216" customWidth="1"/>
    <col min="4870" max="4870" width="4.28515625" style="216" customWidth="1"/>
    <col min="4871" max="5120" width="9.140625" style="216"/>
    <col min="5121" max="5121" width="20.7109375" style="216" customWidth="1"/>
    <col min="5122" max="5122" width="13.7109375" style="216" customWidth="1"/>
    <col min="5123" max="5123" width="11.5703125" style="216" customWidth="1"/>
    <col min="5124" max="5124" width="12.140625" style="216" customWidth="1"/>
    <col min="5125" max="5125" width="15.28515625" style="216" customWidth="1"/>
    <col min="5126" max="5126" width="4.28515625" style="216" customWidth="1"/>
    <col min="5127" max="5376" width="9.140625" style="216"/>
    <col min="5377" max="5377" width="20.7109375" style="216" customWidth="1"/>
    <col min="5378" max="5378" width="13.7109375" style="216" customWidth="1"/>
    <col min="5379" max="5379" width="11.5703125" style="216" customWidth="1"/>
    <col min="5380" max="5380" width="12.140625" style="216" customWidth="1"/>
    <col min="5381" max="5381" width="15.28515625" style="216" customWidth="1"/>
    <col min="5382" max="5382" width="4.28515625" style="216" customWidth="1"/>
    <col min="5383" max="5632" width="9.140625" style="216"/>
    <col min="5633" max="5633" width="20.7109375" style="216" customWidth="1"/>
    <col min="5634" max="5634" width="13.7109375" style="216" customWidth="1"/>
    <col min="5635" max="5635" width="11.5703125" style="216" customWidth="1"/>
    <col min="5636" max="5636" width="12.140625" style="216" customWidth="1"/>
    <col min="5637" max="5637" width="15.28515625" style="216" customWidth="1"/>
    <col min="5638" max="5638" width="4.28515625" style="216" customWidth="1"/>
    <col min="5639" max="5888" width="9.140625" style="216"/>
    <col min="5889" max="5889" width="20.7109375" style="216" customWidth="1"/>
    <col min="5890" max="5890" width="13.7109375" style="216" customWidth="1"/>
    <col min="5891" max="5891" width="11.5703125" style="216" customWidth="1"/>
    <col min="5892" max="5892" width="12.140625" style="216" customWidth="1"/>
    <col min="5893" max="5893" width="15.28515625" style="216" customWidth="1"/>
    <col min="5894" max="5894" width="4.28515625" style="216" customWidth="1"/>
    <col min="5895" max="6144" width="9.140625" style="216"/>
    <col min="6145" max="6145" width="20.7109375" style="216" customWidth="1"/>
    <col min="6146" max="6146" width="13.7109375" style="216" customWidth="1"/>
    <col min="6147" max="6147" width="11.5703125" style="216" customWidth="1"/>
    <col min="6148" max="6148" width="12.140625" style="216" customWidth="1"/>
    <col min="6149" max="6149" width="15.28515625" style="216" customWidth="1"/>
    <col min="6150" max="6150" width="4.28515625" style="216" customWidth="1"/>
    <col min="6151" max="6400" width="9.140625" style="216"/>
    <col min="6401" max="6401" width="20.7109375" style="216" customWidth="1"/>
    <col min="6402" max="6402" width="13.7109375" style="216" customWidth="1"/>
    <col min="6403" max="6403" width="11.5703125" style="216" customWidth="1"/>
    <col min="6404" max="6404" width="12.140625" style="216" customWidth="1"/>
    <col min="6405" max="6405" width="15.28515625" style="216" customWidth="1"/>
    <col min="6406" max="6406" width="4.28515625" style="216" customWidth="1"/>
    <col min="6407" max="6656" width="9.140625" style="216"/>
    <col min="6657" max="6657" width="20.7109375" style="216" customWidth="1"/>
    <col min="6658" max="6658" width="13.7109375" style="216" customWidth="1"/>
    <col min="6659" max="6659" width="11.5703125" style="216" customWidth="1"/>
    <col min="6660" max="6660" width="12.140625" style="216" customWidth="1"/>
    <col min="6661" max="6661" width="15.28515625" style="216" customWidth="1"/>
    <col min="6662" max="6662" width="4.28515625" style="216" customWidth="1"/>
    <col min="6663" max="6912" width="9.140625" style="216"/>
    <col min="6913" max="6913" width="20.7109375" style="216" customWidth="1"/>
    <col min="6914" max="6914" width="13.7109375" style="216" customWidth="1"/>
    <col min="6915" max="6915" width="11.5703125" style="216" customWidth="1"/>
    <col min="6916" max="6916" width="12.140625" style="216" customWidth="1"/>
    <col min="6917" max="6917" width="15.28515625" style="216" customWidth="1"/>
    <col min="6918" max="6918" width="4.28515625" style="216" customWidth="1"/>
    <col min="6919" max="7168" width="9.140625" style="216"/>
    <col min="7169" max="7169" width="20.7109375" style="216" customWidth="1"/>
    <col min="7170" max="7170" width="13.7109375" style="216" customWidth="1"/>
    <col min="7171" max="7171" width="11.5703125" style="216" customWidth="1"/>
    <col min="7172" max="7172" width="12.140625" style="216" customWidth="1"/>
    <col min="7173" max="7173" width="15.28515625" style="216" customWidth="1"/>
    <col min="7174" max="7174" width="4.28515625" style="216" customWidth="1"/>
    <col min="7175" max="7424" width="9.140625" style="216"/>
    <col min="7425" max="7425" width="20.7109375" style="216" customWidth="1"/>
    <col min="7426" max="7426" width="13.7109375" style="216" customWidth="1"/>
    <col min="7427" max="7427" width="11.5703125" style="216" customWidth="1"/>
    <col min="7428" max="7428" width="12.140625" style="216" customWidth="1"/>
    <col min="7429" max="7429" width="15.28515625" style="216" customWidth="1"/>
    <col min="7430" max="7430" width="4.28515625" style="216" customWidth="1"/>
    <col min="7431" max="7680" width="9.140625" style="216"/>
    <col min="7681" max="7681" width="20.7109375" style="216" customWidth="1"/>
    <col min="7682" max="7682" width="13.7109375" style="216" customWidth="1"/>
    <col min="7683" max="7683" width="11.5703125" style="216" customWidth="1"/>
    <col min="7684" max="7684" width="12.140625" style="216" customWidth="1"/>
    <col min="7685" max="7685" width="15.28515625" style="216" customWidth="1"/>
    <col min="7686" max="7686" width="4.28515625" style="216" customWidth="1"/>
    <col min="7687" max="7936" width="9.140625" style="216"/>
    <col min="7937" max="7937" width="20.7109375" style="216" customWidth="1"/>
    <col min="7938" max="7938" width="13.7109375" style="216" customWidth="1"/>
    <col min="7939" max="7939" width="11.5703125" style="216" customWidth="1"/>
    <col min="7940" max="7940" width="12.140625" style="216" customWidth="1"/>
    <col min="7941" max="7941" width="15.28515625" style="216" customWidth="1"/>
    <col min="7942" max="7942" width="4.28515625" style="216" customWidth="1"/>
    <col min="7943" max="8192" width="9.140625" style="216"/>
    <col min="8193" max="8193" width="20.7109375" style="216" customWidth="1"/>
    <col min="8194" max="8194" width="13.7109375" style="216" customWidth="1"/>
    <col min="8195" max="8195" width="11.5703125" style="216" customWidth="1"/>
    <col min="8196" max="8196" width="12.140625" style="216" customWidth="1"/>
    <col min="8197" max="8197" width="15.28515625" style="216" customWidth="1"/>
    <col min="8198" max="8198" width="4.28515625" style="216" customWidth="1"/>
    <col min="8199" max="8448" width="9.140625" style="216"/>
    <col min="8449" max="8449" width="20.7109375" style="216" customWidth="1"/>
    <col min="8450" max="8450" width="13.7109375" style="216" customWidth="1"/>
    <col min="8451" max="8451" width="11.5703125" style="216" customWidth="1"/>
    <col min="8452" max="8452" width="12.140625" style="216" customWidth="1"/>
    <col min="8453" max="8453" width="15.28515625" style="216" customWidth="1"/>
    <col min="8454" max="8454" width="4.28515625" style="216" customWidth="1"/>
    <col min="8455" max="8704" width="9.140625" style="216"/>
    <col min="8705" max="8705" width="20.7109375" style="216" customWidth="1"/>
    <col min="8706" max="8706" width="13.7109375" style="216" customWidth="1"/>
    <col min="8707" max="8707" width="11.5703125" style="216" customWidth="1"/>
    <col min="8708" max="8708" width="12.140625" style="216" customWidth="1"/>
    <col min="8709" max="8709" width="15.28515625" style="216" customWidth="1"/>
    <col min="8710" max="8710" width="4.28515625" style="216" customWidth="1"/>
    <col min="8711" max="8960" width="9.140625" style="216"/>
    <col min="8961" max="8961" width="20.7109375" style="216" customWidth="1"/>
    <col min="8962" max="8962" width="13.7109375" style="216" customWidth="1"/>
    <col min="8963" max="8963" width="11.5703125" style="216" customWidth="1"/>
    <col min="8964" max="8964" width="12.140625" style="216" customWidth="1"/>
    <col min="8965" max="8965" width="15.28515625" style="216" customWidth="1"/>
    <col min="8966" max="8966" width="4.28515625" style="216" customWidth="1"/>
    <col min="8967" max="9216" width="9.140625" style="216"/>
    <col min="9217" max="9217" width="20.7109375" style="216" customWidth="1"/>
    <col min="9218" max="9218" width="13.7109375" style="216" customWidth="1"/>
    <col min="9219" max="9219" width="11.5703125" style="216" customWidth="1"/>
    <col min="9220" max="9220" width="12.140625" style="216" customWidth="1"/>
    <col min="9221" max="9221" width="15.28515625" style="216" customWidth="1"/>
    <col min="9222" max="9222" width="4.28515625" style="216" customWidth="1"/>
    <col min="9223" max="9472" width="9.140625" style="216"/>
    <col min="9473" max="9473" width="20.7109375" style="216" customWidth="1"/>
    <col min="9474" max="9474" width="13.7109375" style="216" customWidth="1"/>
    <col min="9475" max="9475" width="11.5703125" style="216" customWidth="1"/>
    <col min="9476" max="9476" width="12.140625" style="216" customWidth="1"/>
    <col min="9477" max="9477" width="15.28515625" style="216" customWidth="1"/>
    <col min="9478" max="9478" width="4.28515625" style="216" customWidth="1"/>
    <col min="9479" max="9728" width="9.140625" style="216"/>
    <col min="9729" max="9729" width="20.7109375" style="216" customWidth="1"/>
    <col min="9730" max="9730" width="13.7109375" style="216" customWidth="1"/>
    <col min="9731" max="9731" width="11.5703125" style="216" customWidth="1"/>
    <col min="9732" max="9732" width="12.140625" style="216" customWidth="1"/>
    <col min="9733" max="9733" width="15.28515625" style="216" customWidth="1"/>
    <col min="9734" max="9734" width="4.28515625" style="216" customWidth="1"/>
    <col min="9735" max="9984" width="9.140625" style="216"/>
    <col min="9985" max="9985" width="20.7109375" style="216" customWidth="1"/>
    <col min="9986" max="9986" width="13.7109375" style="216" customWidth="1"/>
    <col min="9987" max="9987" width="11.5703125" style="216" customWidth="1"/>
    <col min="9988" max="9988" width="12.140625" style="216" customWidth="1"/>
    <col min="9989" max="9989" width="15.28515625" style="216" customWidth="1"/>
    <col min="9990" max="9990" width="4.28515625" style="216" customWidth="1"/>
    <col min="9991" max="10240" width="9.140625" style="216"/>
    <col min="10241" max="10241" width="20.7109375" style="216" customWidth="1"/>
    <col min="10242" max="10242" width="13.7109375" style="216" customWidth="1"/>
    <col min="10243" max="10243" width="11.5703125" style="216" customWidth="1"/>
    <col min="10244" max="10244" width="12.140625" style="216" customWidth="1"/>
    <col min="10245" max="10245" width="15.28515625" style="216" customWidth="1"/>
    <col min="10246" max="10246" width="4.28515625" style="216" customWidth="1"/>
    <col min="10247" max="10496" width="9.140625" style="216"/>
    <col min="10497" max="10497" width="20.7109375" style="216" customWidth="1"/>
    <col min="10498" max="10498" width="13.7109375" style="216" customWidth="1"/>
    <col min="10499" max="10499" width="11.5703125" style="216" customWidth="1"/>
    <col min="10500" max="10500" width="12.140625" style="216" customWidth="1"/>
    <col min="10501" max="10501" width="15.28515625" style="216" customWidth="1"/>
    <col min="10502" max="10502" width="4.28515625" style="216" customWidth="1"/>
    <col min="10503" max="10752" width="9.140625" style="216"/>
    <col min="10753" max="10753" width="20.7109375" style="216" customWidth="1"/>
    <col min="10754" max="10754" width="13.7109375" style="216" customWidth="1"/>
    <col min="10755" max="10755" width="11.5703125" style="216" customWidth="1"/>
    <col min="10756" max="10756" width="12.140625" style="216" customWidth="1"/>
    <col min="10757" max="10757" width="15.28515625" style="216" customWidth="1"/>
    <col min="10758" max="10758" width="4.28515625" style="216" customWidth="1"/>
    <col min="10759" max="11008" width="9.140625" style="216"/>
    <col min="11009" max="11009" width="20.7109375" style="216" customWidth="1"/>
    <col min="11010" max="11010" width="13.7109375" style="216" customWidth="1"/>
    <col min="11011" max="11011" width="11.5703125" style="216" customWidth="1"/>
    <col min="11012" max="11012" width="12.140625" style="216" customWidth="1"/>
    <col min="11013" max="11013" width="15.28515625" style="216" customWidth="1"/>
    <col min="11014" max="11014" width="4.28515625" style="216" customWidth="1"/>
    <col min="11015" max="11264" width="9.140625" style="216"/>
    <col min="11265" max="11265" width="20.7109375" style="216" customWidth="1"/>
    <col min="11266" max="11266" width="13.7109375" style="216" customWidth="1"/>
    <col min="11267" max="11267" width="11.5703125" style="216" customWidth="1"/>
    <col min="11268" max="11268" width="12.140625" style="216" customWidth="1"/>
    <col min="11269" max="11269" width="15.28515625" style="216" customWidth="1"/>
    <col min="11270" max="11270" width="4.28515625" style="216" customWidth="1"/>
    <col min="11271" max="11520" width="9.140625" style="216"/>
    <col min="11521" max="11521" width="20.7109375" style="216" customWidth="1"/>
    <col min="11522" max="11522" width="13.7109375" style="216" customWidth="1"/>
    <col min="11523" max="11523" width="11.5703125" style="216" customWidth="1"/>
    <col min="11524" max="11524" width="12.140625" style="216" customWidth="1"/>
    <col min="11525" max="11525" width="15.28515625" style="216" customWidth="1"/>
    <col min="11526" max="11526" width="4.28515625" style="216" customWidth="1"/>
    <col min="11527" max="11776" width="9.140625" style="216"/>
    <col min="11777" max="11777" width="20.7109375" style="216" customWidth="1"/>
    <col min="11778" max="11778" width="13.7109375" style="216" customWidth="1"/>
    <col min="11779" max="11779" width="11.5703125" style="216" customWidth="1"/>
    <col min="11780" max="11780" width="12.140625" style="216" customWidth="1"/>
    <col min="11781" max="11781" width="15.28515625" style="216" customWidth="1"/>
    <col min="11782" max="11782" width="4.28515625" style="216" customWidth="1"/>
    <col min="11783" max="12032" width="9.140625" style="216"/>
    <col min="12033" max="12033" width="20.7109375" style="216" customWidth="1"/>
    <col min="12034" max="12034" width="13.7109375" style="216" customWidth="1"/>
    <col min="12035" max="12035" width="11.5703125" style="216" customWidth="1"/>
    <col min="12036" max="12036" width="12.140625" style="216" customWidth="1"/>
    <col min="12037" max="12037" width="15.28515625" style="216" customWidth="1"/>
    <col min="12038" max="12038" width="4.28515625" style="216" customWidth="1"/>
    <col min="12039" max="12288" width="9.140625" style="216"/>
    <col min="12289" max="12289" width="20.7109375" style="216" customWidth="1"/>
    <col min="12290" max="12290" width="13.7109375" style="216" customWidth="1"/>
    <col min="12291" max="12291" width="11.5703125" style="216" customWidth="1"/>
    <col min="12292" max="12292" width="12.140625" style="216" customWidth="1"/>
    <col min="12293" max="12293" width="15.28515625" style="216" customWidth="1"/>
    <col min="12294" max="12294" width="4.28515625" style="216" customWidth="1"/>
    <col min="12295" max="12544" width="9.140625" style="216"/>
    <col min="12545" max="12545" width="20.7109375" style="216" customWidth="1"/>
    <col min="12546" max="12546" width="13.7109375" style="216" customWidth="1"/>
    <col min="12547" max="12547" width="11.5703125" style="216" customWidth="1"/>
    <col min="12548" max="12548" width="12.140625" style="216" customWidth="1"/>
    <col min="12549" max="12549" width="15.28515625" style="216" customWidth="1"/>
    <col min="12550" max="12550" width="4.28515625" style="216" customWidth="1"/>
    <col min="12551" max="12800" width="9.140625" style="216"/>
    <col min="12801" max="12801" width="20.7109375" style="216" customWidth="1"/>
    <col min="12802" max="12802" width="13.7109375" style="216" customWidth="1"/>
    <col min="12803" max="12803" width="11.5703125" style="216" customWidth="1"/>
    <col min="12804" max="12804" width="12.140625" style="216" customWidth="1"/>
    <col min="12805" max="12805" width="15.28515625" style="216" customWidth="1"/>
    <col min="12806" max="12806" width="4.28515625" style="216" customWidth="1"/>
    <col min="12807" max="13056" width="9.140625" style="216"/>
    <col min="13057" max="13057" width="20.7109375" style="216" customWidth="1"/>
    <col min="13058" max="13058" width="13.7109375" style="216" customWidth="1"/>
    <col min="13059" max="13059" width="11.5703125" style="216" customWidth="1"/>
    <col min="13060" max="13060" width="12.140625" style="216" customWidth="1"/>
    <col min="13061" max="13061" width="15.28515625" style="216" customWidth="1"/>
    <col min="13062" max="13062" width="4.28515625" style="216" customWidth="1"/>
    <col min="13063" max="13312" width="9.140625" style="216"/>
    <col min="13313" max="13313" width="20.7109375" style="216" customWidth="1"/>
    <col min="13314" max="13314" width="13.7109375" style="216" customWidth="1"/>
    <col min="13315" max="13315" width="11.5703125" style="216" customWidth="1"/>
    <col min="13316" max="13316" width="12.140625" style="216" customWidth="1"/>
    <col min="13317" max="13317" width="15.28515625" style="216" customWidth="1"/>
    <col min="13318" max="13318" width="4.28515625" style="216" customWidth="1"/>
    <col min="13319" max="13568" width="9.140625" style="216"/>
    <col min="13569" max="13569" width="20.7109375" style="216" customWidth="1"/>
    <col min="13570" max="13570" width="13.7109375" style="216" customWidth="1"/>
    <col min="13571" max="13571" width="11.5703125" style="216" customWidth="1"/>
    <col min="13572" max="13572" width="12.140625" style="216" customWidth="1"/>
    <col min="13573" max="13573" width="15.28515625" style="216" customWidth="1"/>
    <col min="13574" max="13574" width="4.28515625" style="216" customWidth="1"/>
    <col min="13575" max="13824" width="9.140625" style="216"/>
    <col min="13825" max="13825" width="20.7109375" style="216" customWidth="1"/>
    <col min="13826" max="13826" width="13.7109375" style="216" customWidth="1"/>
    <col min="13827" max="13827" width="11.5703125" style="216" customWidth="1"/>
    <col min="13828" max="13828" width="12.140625" style="216" customWidth="1"/>
    <col min="13829" max="13829" width="15.28515625" style="216" customWidth="1"/>
    <col min="13830" max="13830" width="4.28515625" style="216" customWidth="1"/>
    <col min="13831" max="14080" width="9.140625" style="216"/>
    <col min="14081" max="14081" width="20.7109375" style="216" customWidth="1"/>
    <col min="14082" max="14082" width="13.7109375" style="216" customWidth="1"/>
    <col min="14083" max="14083" width="11.5703125" style="216" customWidth="1"/>
    <col min="14084" max="14084" width="12.140625" style="216" customWidth="1"/>
    <col min="14085" max="14085" width="15.28515625" style="216" customWidth="1"/>
    <col min="14086" max="14086" width="4.28515625" style="216" customWidth="1"/>
    <col min="14087" max="14336" width="9.140625" style="216"/>
    <col min="14337" max="14337" width="20.7109375" style="216" customWidth="1"/>
    <col min="14338" max="14338" width="13.7109375" style="216" customWidth="1"/>
    <col min="14339" max="14339" width="11.5703125" style="216" customWidth="1"/>
    <col min="14340" max="14340" width="12.140625" style="216" customWidth="1"/>
    <col min="14341" max="14341" width="15.28515625" style="216" customWidth="1"/>
    <col min="14342" max="14342" width="4.28515625" style="216" customWidth="1"/>
    <col min="14343" max="14592" width="9.140625" style="216"/>
    <col min="14593" max="14593" width="20.7109375" style="216" customWidth="1"/>
    <col min="14594" max="14594" width="13.7109375" style="216" customWidth="1"/>
    <col min="14595" max="14595" width="11.5703125" style="216" customWidth="1"/>
    <col min="14596" max="14596" width="12.140625" style="216" customWidth="1"/>
    <col min="14597" max="14597" width="15.28515625" style="216" customWidth="1"/>
    <col min="14598" max="14598" width="4.28515625" style="216" customWidth="1"/>
    <col min="14599" max="14848" width="9.140625" style="216"/>
    <col min="14849" max="14849" width="20.7109375" style="216" customWidth="1"/>
    <col min="14850" max="14850" width="13.7109375" style="216" customWidth="1"/>
    <col min="14851" max="14851" width="11.5703125" style="216" customWidth="1"/>
    <col min="14852" max="14852" width="12.140625" style="216" customWidth="1"/>
    <col min="14853" max="14853" width="15.28515625" style="216" customWidth="1"/>
    <col min="14854" max="14854" width="4.28515625" style="216" customWidth="1"/>
    <col min="14855" max="15104" width="9.140625" style="216"/>
    <col min="15105" max="15105" width="20.7109375" style="216" customWidth="1"/>
    <col min="15106" max="15106" width="13.7109375" style="216" customWidth="1"/>
    <col min="15107" max="15107" width="11.5703125" style="216" customWidth="1"/>
    <col min="15108" max="15108" width="12.140625" style="216" customWidth="1"/>
    <col min="15109" max="15109" width="15.28515625" style="216" customWidth="1"/>
    <col min="15110" max="15110" width="4.28515625" style="216" customWidth="1"/>
    <col min="15111" max="15360" width="9.140625" style="216"/>
    <col min="15361" max="15361" width="20.7109375" style="216" customWidth="1"/>
    <col min="15362" max="15362" width="13.7109375" style="216" customWidth="1"/>
    <col min="15363" max="15363" width="11.5703125" style="216" customWidth="1"/>
    <col min="15364" max="15364" width="12.140625" style="216" customWidth="1"/>
    <col min="15365" max="15365" width="15.28515625" style="216" customWidth="1"/>
    <col min="15366" max="15366" width="4.28515625" style="216" customWidth="1"/>
    <col min="15367" max="15616" width="9.140625" style="216"/>
    <col min="15617" max="15617" width="20.7109375" style="216" customWidth="1"/>
    <col min="15618" max="15618" width="13.7109375" style="216" customWidth="1"/>
    <col min="15619" max="15619" width="11.5703125" style="216" customWidth="1"/>
    <col min="15620" max="15620" width="12.140625" style="216" customWidth="1"/>
    <col min="15621" max="15621" width="15.28515625" style="216" customWidth="1"/>
    <col min="15622" max="15622" width="4.28515625" style="216" customWidth="1"/>
    <col min="15623" max="15872" width="9.140625" style="216"/>
    <col min="15873" max="15873" width="20.7109375" style="216" customWidth="1"/>
    <col min="15874" max="15874" width="13.7109375" style="216" customWidth="1"/>
    <col min="15875" max="15875" width="11.5703125" style="216" customWidth="1"/>
    <col min="15876" max="15876" width="12.140625" style="216" customWidth="1"/>
    <col min="15877" max="15877" width="15.28515625" style="216" customWidth="1"/>
    <col min="15878" max="15878" width="4.28515625" style="216" customWidth="1"/>
    <col min="15879" max="16128" width="9.140625" style="216"/>
    <col min="16129" max="16129" width="20.7109375" style="216" customWidth="1"/>
    <col min="16130" max="16130" width="13.7109375" style="216" customWidth="1"/>
    <col min="16131" max="16131" width="11.5703125" style="216" customWidth="1"/>
    <col min="16132" max="16132" width="12.140625" style="216" customWidth="1"/>
    <col min="16133" max="16133" width="15.28515625" style="216" customWidth="1"/>
    <col min="16134" max="16134" width="4.28515625" style="216" customWidth="1"/>
    <col min="16135" max="16384" width="9.140625" style="216"/>
  </cols>
  <sheetData>
    <row r="1" spans="1:5">
      <c r="A1" s="215">
        <v>41807</v>
      </c>
    </row>
    <row r="2" spans="1:5">
      <c r="A2" s="215"/>
    </row>
    <row r="3" spans="1:5" ht="15">
      <c r="A3" s="485" t="s">
        <v>223</v>
      </c>
      <c r="B3" s="485"/>
      <c r="C3" s="485"/>
      <c r="D3" s="485"/>
      <c r="E3" s="485"/>
    </row>
    <row r="4" spans="1:5" ht="13.5" thickBot="1">
      <c r="B4" s="216" t="s">
        <v>282</v>
      </c>
      <c r="C4" s="216" t="s">
        <v>224</v>
      </c>
      <c r="D4" s="216" t="s">
        <v>225</v>
      </c>
      <c r="E4" s="216" t="s">
        <v>283</v>
      </c>
    </row>
    <row r="5" spans="1:5" ht="13.5" customHeight="1" thickTop="1">
      <c r="A5" s="242" t="s">
        <v>281</v>
      </c>
      <c r="B5" s="244">
        <f>AVERAGE(B6:B53)</f>
        <v>17510.625</v>
      </c>
      <c r="C5" s="241"/>
      <c r="D5" s="241"/>
      <c r="E5" s="243">
        <f>AVERAGE(E6:E53)</f>
        <v>3.1922916666666669E-2</v>
      </c>
    </row>
    <row r="6" spans="1:5">
      <c r="A6" s="217" t="s">
        <v>226</v>
      </c>
      <c r="B6" s="218">
        <v>8000</v>
      </c>
      <c r="C6" s="219">
        <v>5.8999999999999999E-3</v>
      </c>
      <c r="D6" s="219">
        <v>6.7400000000000002E-2</v>
      </c>
      <c r="E6" s="220">
        <v>2.7E-2</v>
      </c>
    </row>
    <row r="7" spans="1:5">
      <c r="A7" s="217" t="s">
        <v>227</v>
      </c>
      <c r="B7" s="218">
        <v>37400</v>
      </c>
      <c r="C7" s="219">
        <v>1.54E-2</v>
      </c>
      <c r="D7" s="221">
        <v>5.3999999999999999E-2</v>
      </c>
      <c r="E7" s="222">
        <v>2.3800000000000002E-2</v>
      </c>
    </row>
    <row r="8" spans="1:5">
      <c r="A8" s="217" t="s">
        <v>228</v>
      </c>
      <c r="B8" s="218">
        <v>7000</v>
      </c>
      <c r="C8" s="219">
        <v>2.0000000000000001E-4</v>
      </c>
      <c r="D8" s="219">
        <v>6.6699999999999995E-2</v>
      </c>
      <c r="E8" s="220">
        <v>0.02</v>
      </c>
    </row>
    <row r="9" spans="1:5">
      <c r="A9" s="217" t="s">
        <v>229</v>
      </c>
      <c r="B9" s="218">
        <v>12000</v>
      </c>
      <c r="C9" s="221">
        <v>1E-3</v>
      </c>
      <c r="D9" s="221">
        <v>0.06</v>
      </c>
      <c r="E9" s="223">
        <v>2.9000000000000001E-2</v>
      </c>
    </row>
    <row r="10" spans="1:5">
      <c r="A10" s="217" t="s">
        <v>230</v>
      </c>
      <c r="B10" s="218">
        <v>7000</v>
      </c>
      <c r="C10" s="221">
        <v>1.4999999999999999E-2</v>
      </c>
      <c r="D10" s="221">
        <v>6.2E-2</v>
      </c>
      <c r="E10" s="223">
        <v>3.4000000000000002E-2</v>
      </c>
    </row>
    <row r="11" spans="1:5">
      <c r="A11" s="217" t="s">
        <v>231</v>
      </c>
      <c r="B11" s="218">
        <v>11700</v>
      </c>
      <c r="C11" s="219">
        <v>6.6E-3</v>
      </c>
      <c r="D11" s="221">
        <v>8.8999999999999996E-2</v>
      </c>
      <c r="E11" s="223">
        <v>1.7000000000000001E-2</v>
      </c>
    </row>
    <row r="12" spans="1:5">
      <c r="A12" s="217" t="s">
        <v>232</v>
      </c>
      <c r="B12" s="218">
        <v>15000</v>
      </c>
      <c r="C12" s="221">
        <v>1.9E-2</v>
      </c>
      <c r="D12" s="221">
        <v>6.8000000000000005E-2</v>
      </c>
      <c r="E12" s="223">
        <v>4.4999999999999998E-2</v>
      </c>
    </row>
    <row r="13" spans="1:5">
      <c r="A13" s="217" t="s">
        <v>233</v>
      </c>
      <c r="B13" s="218">
        <v>18500</v>
      </c>
      <c r="C13" s="221">
        <v>1E-3</v>
      </c>
      <c r="D13" s="221">
        <v>0.08</v>
      </c>
      <c r="E13" s="223">
        <v>2.8000000000000001E-2</v>
      </c>
    </row>
    <row r="14" spans="1:5">
      <c r="A14" s="217" t="s">
        <v>234</v>
      </c>
      <c r="B14" s="218">
        <v>9000</v>
      </c>
      <c r="C14" s="221">
        <v>1.6E-2</v>
      </c>
      <c r="D14" s="221">
        <v>7.0000000000000007E-2</v>
      </c>
      <c r="E14" s="223">
        <v>2.7E-2</v>
      </c>
    </row>
    <row r="15" spans="1:5">
      <c r="A15" s="217" t="s">
        <v>235</v>
      </c>
      <c r="B15" s="218">
        <v>8000</v>
      </c>
      <c r="C15" s="219">
        <v>1.0200000000000001E-2</v>
      </c>
      <c r="D15" s="221">
        <v>5.3999999999999999E-2</v>
      </c>
      <c r="E15" s="223">
        <v>2.7E-2</v>
      </c>
    </row>
    <row r="16" spans="1:5">
      <c r="A16" s="217" t="s">
        <v>236</v>
      </c>
      <c r="B16" s="218">
        <v>9500</v>
      </c>
      <c r="C16" s="219">
        <v>2.0000000000000001E-4</v>
      </c>
      <c r="D16" s="221">
        <v>5.3999999999999999E-2</v>
      </c>
      <c r="E16" s="222">
        <v>2.6200000000000001E-2</v>
      </c>
    </row>
    <row r="17" spans="1:6">
      <c r="A17" s="217" t="s">
        <v>237</v>
      </c>
      <c r="B17" s="218">
        <v>40400</v>
      </c>
      <c r="C17" s="221">
        <v>1.7999999999999999E-2</v>
      </c>
      <c r="D17" s="221">
        <v>6.4000000000000001E-2</v>
      </c>
      <c r="E17" s="223">
        <v>4.5999999999999999E-2</v>
      </c>
    </row>
    <row r="18" spans="1:6">
      <c r="A18" s="217" t="s">
        <v>238</v>
      </c>
      <c r="B18" s="218">
        <v>35200</v>
      </c>
      <c r="C18" s="219">
        <v>7.7999999999999996E-3</v>
      </c>
      <c r="D18" s="221">
        <v>6.8000000000000005E-2</v>
      </c>
      <c r="E18" s="224">
        <v>2.75E-2</v>
      </c>
    </row>
    <row r="19" spans="1:6">
      <c r="A19" s="217" t="s">
        <v>239</v>
      </c>
      <c r="B19" s="218">
        <v>12960</v>
      </c>
      <c r="C19" s="219">
        <v>5.4999999999999997E-3</v>
      </c>
      <c r="D19" s="219">
        <v>8.9499999999999996E-2</v>
      </c>
      <c r="E19" s="224">
        <v>4.1500000000000002E-2</v>
      </c>
    </row>
    <row r="20" spans="1:6">
      <c r="A20" s="217" t="s">
        <v>240</v>
      </c>
      <c r="B20" s="218">
        <v>9500</v>
      </c>
      <c r="C20" s="219">
        <v>5.3E-3</v>
      </c>
      <c r="D20" s="221">
        <v>7.9000000000000001E-2</v>
      </c>
      <c r="E20" s="223">
        <v>2.5000000000000001E-2</v>
      </c>
    </row>
    <row r="21" spans="1:6">
      <c r="A21" s="217" t="s">
        <v>241</v>
      </c>
      <c r="B21" s="218">
        <v>26800</v>
      </c>
      <c r="C21" s="221">
        <v>0</v>
      </c>
      <c r="D21" s="221">
        <v>8.5000000000000006E-2</v>
      </c>
      <c r="E21" s="223">
        <v>1.0999999999999999E-2</v>
      </c>
    </row>
    <row r="22" spans="1:6">
      <c r="A22" s="217" t="s">
        <v>242</v>
      </c>
      <c r="B22" s="218">
        <v>8000</v>
      </c>
      <c r="C22" s="219">
        <v>1.1000000000000001E-3</v>
      </c>
      <c r="D22" s="221">
        <v>9.4E-2</v>
      </c>
      <c r="E22" s="220">
        <v>0.04</v>
      </c>
    </row>
    <row r="23" spans="1:6">
      <c r="A23" s="217" t="s">
        <v>243</v>
      </c>
      <c r="B23" s="218">
        <v>9600</v>
      </c>
      <c r="C23" s="221">
        <v>0.01</v>
      </c>
      <c r="D23" s="221">
        <v>0.1</v>
      </c>
      <c r="E23" s="220">
        <v>2.7E-2</v>
      </c>
    </row>
    <row r="24" spans="1:6">
      <c r="A24" s="217" t="s">
        <v>244</v>
      </c>
      <c r="B24" s="218">
        <v>7700</v>
      </c>
      <c r="C24" s="219">
        <v>1E-3</v>
      </c>
      <c r="D24" s="221">
        <v>6.2E-2</v>
      </c>
      <c r="E24" s="238">
        <f>D24</f>
        <v>6.2E-2</v>
      </c>
      <c r="F24" s="216" t="s">
        <v>279</v>
      </c>
    </row>
    <row r="25" spans="1:6">
      <c r="A25" s="217" t="s">
        <v>245</v>
      </c>
      <c r="B25" s="218">
        <v>12000</v>
      </c>
      <c r="C25" s="219">
        <v>8.8999999999999999E-3</v>
      </c>
      <c r="D25" s="219">
        <v>8.2100000000000006E-2</v>
      </c>
      <c r="E25" s="222">
        <v>3.1199999999999999E-2</v>
      </c>
    </row>
    <row r="26" spans="1:6">
      <c r="A26" s="217" t="s">
        <v>246</v>
      </c>
      <c r="B26" s="218">
        <v>8500</v>
      </c>
      <c r="C26" s="221">
        <v>0.01</v>
      </c>
      <c r="D26" s="221">
        <v>0.105</v>
      </c>
      <c r="E26" s="223">
        <v>2.5999999999999999E-2</v>
      </c>
    </row>
    <row r="27" spans="1:6">
      <c r="A27" s="217" t="s">
        <v>247</v>
      </c>
      <c r="B27" s="218">
        <v>14000</v>
      </c>
      <c r="C27" s="219">
        <v>1.26E-2</v>
      </c>
      <c r="D27" s="219">
        <v>0.1227</v>
      </c>
      <c r="E27" s="222">
        <v>2.8299999999999999E-2</v>
      </c>
    </row>
    <row r="28" spans="1:6">
      <c r="A28" s="217" t="s">
        <v>248</v>
      </c>
      <c r="B28" s="218">
        <v>9500</v>
      </c>
      <c r="C28" s="219">
        <v>5.9999999999999995E-4</v>
      </c>
      <c r="D28" s="221">
        <v>0.10299999999999999</v>
      </c>
      <c r="E28" s="223">
        <v>2.7E-2</v>
      </c>
    </row>
    <row r="29" spans="1:6">
      <c r="A29" s="217" t="s">
        <v>249</v>
      </c>
      <c r="B29" s="218">
        <v>29000</v>
      </c>
      <c r="C29" s="219">
        <v>6.7000000000000002E-3</v>
      </c>
      <c r="D29" s="219">
        <v>0.1081</v>
      </c>
      <c r="E29" s="222">
        <v>3.5200000000000002E-2</v>
      </c>
    </row>
    <row r="30" spans="1:6">
      <c r="A30" s="217" t="s">
        <v>250</v>
      </c>
      <c r="B30" s="218">
        <v>14000</v>
      </c>
      <c r="C30" s="219">
        <v>4.4999999999999997E-3</v>
      </c>
      <c r="D30" s="221">
        <v>5.3999999999999999E-2</v>
      </c>
      <c r="E30" s="224">
        <v>1.15E-2</v>
      </c>
    </row>
    <row r="31" spans="1:6">
      <c r="A31" s="217" t="s">
        <v>251</v>
      </c>
      <c r="B31" s="218">
        <v>13000</v>
      </c>
      <c r="C31" s="221">
        <v>0</v>
      </c>
      <c r="D31" s="219">
        <v>9.7500000000000003E-2</v>
      </c>
      <c r="E31" s="224">
        <v>3.5099999999999999E-2</v>
      </c>
    </row>
    <row r="32" spans="1:6">
      <c r="A32" s="217" t="s">
        <v>252</v>
      </c>
      <c r="B32" s="218">
        <v>29000</v>
      </c>
      <c r="C32" s="219">
        <v>6.1999999999999998E-3</v>
      </c>
      <c r="D32" s="219">
        <v>6.1199999999999997E-2</v>
      </c>
      <c r="E32" s="239">
        <f>D32</f>
        <v>6.1199999999999997E-2</v>
      </c>
      <c r="F32" s="216" t="s">
        <v>279</v>
      </c>
    </row>
    <row r="33" spans="1:6">
      <c r="A33" s="217" t="s">
        <v>253</v>
      </c>
      <c r="B33" s="218">
        <v>9000</v>
      </c>
      <c r="C33" s="221">
        <v>0</v>
      </c>
      <c r="D33" s="221">
        <v>5.3999999999999999E-2</v>
      </c>
      <c r="E33" s="224">
        <v>1.6799999999999999E-2</v>
      </c>
    </row>
    <row r="34" spans="1:6">
      <c r="A34" s="217" t="s">
        <v>254</v>
      </c>
      <c r="B34" s="218">
        <v>27400</v>
      </c>
      <c r="C34" s="219">
        <v>2.5000000000000001E-3</v>
      </c>
      <c r="D34" s="221">
        <v>5.3999999999999999E-2</v>
      </c>
      <c r="E34" s="222">
        <v>2.9499999999999998E-2</v>
      </c>
    </row>
    <row r="35" spans="1:6">
      <c r="A35" s="217" t="s">
        <v>255</v>
      </c>
      <c r="B35" s="218">
        <v>14000</v>
      </c>
      <c r="C35" s="219">
        <v>2.5999999999999999E-2</v>
      </c>
      <c r="D35" s="221">
        <v>7.0000000000000007E-2</v>
      </c>
      <c r="E35" s="223">
        <v>2.7E-2</v>
      </c>
    </row>
    <row r="36" spans="1:6">
      <c r="A36" s="217" t="s">
        <v>256</v>
      </c>
      <c r="B36" s="218">
        <v>31500</v>
      </c>
      <c r="C36" s="221">
        <v>1.2E-2</v>
      </c>
      <c r="D36" s="221">
        <v>7.0000000000000007E-2</v>
      </c>
      <c r="E36" s="224">
        <v>3.2800000000000003E-2</v>
      </c>
    </row>
    <row r="37" spans="1:6">
      <c r="A37" s="217" t="s">
        <v>257</v>
      </c>
      <c r="B37" s="218">
        <v>23400</v>
      </c>
      <c r="C37" s="221">
        <v>1E-3</v>
      </c>
      <c r="D37" s="221">
        <v>5.3999999999999999E-2</v>
      </c>
      <c r="E37" s="223">
        <v>0.02</v>
      </c>
    </row>
    <row r="38" spans="1:6">
      <c r="A38" s="217" t="s">
        <v>258</v>
      </c>
      <c r="B38" s="218">
        <v>10300</v>
      </c>
      <c r="C38" s="221">
        <v>8.9999999999999993E-3</v>
      </c>
      <c r="D38" s="221">
        <v>8.8999999999999996E-2</v>
      </c>
      <c r="E38" s="223">
        <v>3.4000000000000002E-2</v>
      </c>
    </row>
    <row r="39" spans="1:6">
      <c r="A39" s="217" t="s">
        <v>259</v>
      </c>
      <c r="B39" s="218">
        <v>21400</v>
      </c>
      <c r="C39" s="221">
        <v>0</v>
      </c>
      <c r="D39" s="219">
        <v>6.8400000000000002E-2</v>
      </c>
      <c r="E39" s="220">
        <v>1.2E-2</v>
      </c>
    </row>
    <row r="40" spans="1:6">
      <c r="A40" s="217" t="s">
        <v>260</v>
      </c>
      <c r="B40" s="218">
        <v>33600</v>
      </c>
      <c r="C40" s="219">
        <v>1.6999999999999999E-3</v>
      </c>
      <c r="D40" s="219">
        <v>9.7799999999999998E-2</v>
      </c>
      <c r="E40" s="222">
        <v>1.2500000000000001E-2</v>
      </c>
    </row>
    <row r="41" spans="1:6">
      <c r="A41" s="217" t="s">
        <v>261</v>
      </c>
      <c r="B41" s="218">
        <v>9000</v>
      </c>
      <c r="C41" s="221">
        <v>3.0000000000000001E-3</v>
      </c>
      <c r="D41" s="221">
        <v>8.4000000000000005E-2</v>
      </c>
      <c r="E41" s="223">
        <v>2.7E-2</v>
      </c>
    </row>
    <row r="42" spans="1:6">
      <c r="A42" s="217" t="s">
        <v>262</v>
      </c>
      <c r="B42" s="218">
        <v>18700</v>
      </c>
      <c r="C42" s="221">
        <v>3.0000000000000001E-3</v>
      </c>
      <c r="D42" s="221">
        <v>9.1999999999999998E-2</v>
      </c>
      <c r="E42" s="223">
        <v>0.02</v>
      </c>
    </row>
    <row r="43" spans="1:6">
      <c r="A43" s="217" t="s">
        <v>263</v>
      </c>
      <c r="B43" s="218">
        <v>35000</v>
      </c>
      <c r="C43" s="221">
        <v>2.1999999999999999E-2</v>
      </c>
      <c r="D43" s="221">
        <v>5.3999999999999999E-2</v>
      </c>
      <c r="E43" s="223">
        <v>3.3000000000000002E-2</v>
      </c>
    </row>
    <row r="44" spans="1:6" ht="11.25" customHeight="1">
      <c r="A44" s="217" t="s">
        <v>264</v>
      </c>
      <c r="B44" s="218">
        <v>8750</v>
      </c>
      <c r="C44" s="221">
        <v>2.8000000000000001E-2</v>
      </c>
      <c r="D44" s="219">
        <v>0.1089</v>
      </c>
      <c r="E44" s="224">
        <v>3.6700000000000003E-2</v>
      </c>
    </row>
    <row r="45" spans="1:6">
      <c r="A45" s="234" t="s">
        <v>265</v>
      </c>
      <c r="B45" s="235">
        <v>20600</v>
      </c>
      <c r="C45" s="236">
        <v>1.6899999999999998E-2</v>
      </c>
      <c r="D45" s="236">
        <v>9.7900000000000001E-2</v>
      </c>
      <c r="E45" s="237">
        <v>2.8299999999999999E-2</v>
      </c>
    </row>
    <row r="46" spans="1:6">
      <c r="A46" s="217" t="s">
        <v>266</v>
      </c>
      <c r="B46" s="218">
        <v>9000</v>
      </c>
      <c r="C46" s="219">
        <v>5.4000000000000003E-3</v>
      </c>
      <c r="D46" s="219">
        <v>7.3499999999999996E-2</v>
      </c>
      <c r="E46" s="220">
        <v>2.7E-2</v>
      </c>
    </row>
    <row r="47" spans="1:6">
      <c r="A47" s="217" t="s">
        <v>267</v>
      </c>
      <c r="B47" s="218">
        <v>30800</v>
      </c>
      <c r="C47" s="221">
        <v>4.0000000000000001E-3</v>
      </c>
      <c r="D47" s="221">
        <v>7.3999999999999996E-2</v>
      </c>
      <c r="E47" s="239">
        <f>D47</f>
        <v>7.3999999999999996E-2</v>
      </c>
      <c r="F47" s="216" t="s">
        <v>279</v>
      </c>
    </row>
    <row r="48" spans="1:6">
      <c r="A48" s="217" t="s">
        <v>268</v>
      </c>
      <c r="B48" s="218">
        <v>16000</v>
      </c>
      <c r="C48" s="221">
        <v>1.2999999999999999E-2</v>
      </c>
      <c r="D48" s="221">
        <v>8.4000000000000005E-2</v>
      </c>
      <c r="E48" s="223">
        <v>0.01</v>
      </c>
    </row>
    <row r="49" spans="1:17">
      <c r="A49" s="217" t="s">
        <v>269</v>
      </c>
      <c r="B49" s="218">
        <v>8000</v>
      </c>
      <c r="C49" s="219">
        <v>6.7999999999999996E-3</v>
      </c>
      <c r="D49" s="219">
        <v>6.7799999999999999E-2</v>
      </c>
      <c r="E49" s="224">
        <v>3.0800000000000001E-2</v>
      </c>
    </row>
    <row r="50" spans="1:17">
      <c r="A50" s="217" t="s">
        <v>270</v>
      </c>
      <c r="B50" s="218">
        <v>41300</v>
      </c>
      <c r="C50" s="219">
        <v>1.6999999999999999E-3</v>
      </c>
      <c r="D50" s="219">
        <v>5.8400000000000001E-2</v>
      </c>
      <c r="E50" s="239">
        <f>D50</f>
        <v>5.8400000000000001E-2</v>
      </c>
      <c r="F50" s="216" t="s">
        <v>279</v>
      </c>
    </row>
    <row r="51" spans="1:17">
      <c r="A51" s="217" t="s">
        <v>271</v>
      </c>
      <c r="B51" s="218">
        <v>12000</v>
      </c>
      <c r="C51" s="221">
        <v>1.4999999999999999E-2</v>
      </c>
      <c r="D51" s="221">
        <v>7.4999999999999997E-2</v>
      </c>
      <c r="E51" s="223">
        <v>2.7E-2</v>
      </c>
    </row>
    <row r="52" spans="1:17">
      <c r="A52" s="217" t="s">
        <v>272</v>
      </c>
      <c r="B52" s="218">
        <v>14000</v>
      </c>
      <c r="C52" s="219">
        <v>2.7000000000000001E-3</v>
      </c>
      <c r="D52" s="221">
        <v>9.8000000000000004E-2</v>
      </c>
      <c r="E52" s="220">
        <v>3.5999999999999997E-2</v>
      </c>
    </row>
    <row r="53" spans="1:17">
      <c r="A53" s="225" t="s">
        <v>273</v>
      </c>
      <c r="B53" s="226">
        <v>24500</v>
      </c>
      <c r="C53" s="227">
        <v>6.3E-3</v>
      </c>
      <c r="D53" s="228">
        <v>0.1</v>
      </c>
      <c r="E53" s="240">
        <f>D53</f>
        <v>0.1</v>
      </c>
      <c r="F53" s="216" t="s">
        <v>279</v>
      </c>
    </row>
    <row r="54" spans="1:17" ht="12.75" customHeight="1">
      <c r="A54" s="216" t="s">
        <v>280</v>
      </c>
      <c r="B54" s="229"/>
      <c r="C54" s="229"/>
      <c r="D54" s="229"/>
      <c r="E54" s="229"/>
      <c r="H54" s="230"/>
      <c r="I54" s="230"/>
      <c r="J54" s="230"/>
      <c r="K54" s="230"/>
      <c r="L54" s="230"/>
      <c r="M54" s="230"/>
      <c r="N54" s="230"/>
      <c r="O54" s="230"/>
      <c r="P54" s="230"/>
      <c r="Q54" s="230"/>
    </row>
    <row r="55" spans="1:17">
      <c r="A55" s="229" t="s">
        <v>274</v>
      </c>
      <c r="B55" s="229"/>
      <c r="C55" s="229"/>
      <c r="D55" s="229"/>
      <c r="E55" s="229"/>
      <c r="H55" s="230"/>
      <c r="I55" s="230"/>
      <c r="J55" s="230"/>
      <c r="K55" s="230"/>
      <c r="L55" s="230"/>
      <c r="M55" s="230"/>
      <c r="N55" s="230"/>
      <c r="O55" s="230"/>
      <c r="P55" s="230"/>
      <c r="Q55" s="230"/>
    </row>
    <row r="56" spans="1:17" ht="12.75" customHeight="1">
      <c r="A56" s="484" t="s">
        <v>275</v>
      </c>
      <c r="B56" s="484"/>
      <c r="C56" s="484"/>
      <c r="D56" s="484"/>
      <c r="E56" s="484"/>
      <c r="H56" s="230"/>
      <c r="I56" s="230"/>
      <c r="J56" s="230"/>
      <c r="K56" s="230"/>
      <c r="L56" s="230"/>
      <c r="M56" s="230"/>
      <c r="N56" s="230"/>
      <c r="O56" s="230"/>
      <c r="P56" s="230"/>
      <c r="Q56" s="230"/>
    </row>
    <row r="57" spans="1:17">
      <c r="A57" s="484"/>
      <c r="B57" s="484"/>
      <c r="C57" s="484"/>
      <c r="D57" s="484"/>
      <c r="E57" s="484"/>
      <c r="H57" s="230"/>
      <c r="I57" s="230"/>
      <c r="J57" s="230"/>
      <c r="K57" s="230"/>
      <c r="L57" s="230"/>
      <c r="M57" s="230"/>
      <c r="N57" s="230"/>
      <c r="O57" s="230"/>
      <c r="P57" s="230"/>
      <c r="Q57" s="230"/>
    </row>
    <row r="58" spans="1:17">
      <c r="A58" s="484"/>
      <c r="B58" s="484"/>
      <c r="C58" s="484"/>
      <c r="D58" s="484"/>
      <c r="E58" s="484"/>
      <c r="H58" s="230"/>
      <c r="I58" s="230"/>
      <c r="J58" s="230"/>
      <c r="K58" s="230"/>
      <c r="L58" s="230"/>
      <c r="M58" s="230"/>
      <c r="N58" s="230"/>
      <c r="O58" s="230"/>
      <c r="P58" s="230"/>
      <c r="Q58" s="230"/>
    </row>
    <row r="59" spans="1:17">
      <c r="A59" s="484"/>
      <c r="B59" s="484"/>
      <c r="C59" s="484"/>
      <c r="D59" s="484"/>
      <c r="E59" s="484"/>
      <c r="H59" s="230"/>
      <c r="I59" s="230"/>
      <c r="J59" s="230"/>
      <c r="K59" s="230"/>
      <c r="L59" s="230"/>
      <c r="M59" s="230"/>
      <c r="N59" s="230"/>
      <c r="O59" s="230"/>
      <c r="P59" s="230"/>
      <c r="Q59" s="230"/>
    </row>
    <row r="60" spans="1:17">
      <c r="A60" s="484"/>
      <c r="B60" s="484"/>
      <c r="C60" s="484"/>
      <c r="D60" s="484"/>
      <c r="E60" s="484"/>
      <c r="H60" s="230"/>
      <c r="I60" s="230"/>
      <c r="J60" s="230"/>
      <c r="K60" s="230"/>
      <c r="L60" s="230"/>
      <c r="M60" s="230"/>
      <c r="N60" s="230"/>
      <c r="O60" s="230"/>
      <c r="P60" s="230"/>
      <c r="Q60" s="230"/>
    </row>
    <row r="61" spans="1:17">
      <c r="A61" s="484"/>
      <c r="B61" s="484"/>
      <c r="C61" s="484"/>
      <c r="D61" s="484"/>
      <c r="E61" s="484"/>
    </row>
    <row r="62" spans="1:17">
      <c r="A62" s="484"/>
      <c r="B62" s="484"/>
      <c r="C62" s="484"/>
      <c r="D62" s="484"/>
      <c r="E62" s="484"/>
    </row>
    <row r="63" spans="1:17">
      <c r="A63" s="484"/>
      <c r="B63" s="484"/>
      <c r="C63" s="484"/>
      <c r="D63" s="484"/>
      <c r="E63" s="484"/>
    </row>
    <row r="64" spans="1:17" ht="12.75" customHeight="1">
      <c r="A64" s="483" t="s">
        <v>276</v>
      </c>
      <c r="B64" s="483"/>
      <c r="C64" s="483"/>
      <c r="D64" s="483"/>
      <c r="E64" s="483"/>
      <c r="G64" s="230"/>
      <c r="H64" s="230"/>
      <c r="I64" s="230"/>
      <c r="J64" s="230"/>
      <c r="K64" s="230"/>
      <c r="L64" s="230"/>
      <c r="M64" s="230"/>
      <c r="N64" s="230"/>
      <c r="O64" s="230"/>
      <c r="P64" s="230"/>
      <c r="Q64" s="230"/>
    </row>
    <row r="65" spans="1:17">
      <c r="A65" s="483"/>
      <c r="B65" s="483"/>
      <c r="C65" s="483"/>
      <c r="D65" s="483"/>
      <c r="E65" s="483"/>
      <c r="G65" s="230"/>
      <c r="H65" s="230"/>
      <c r="I65" s="230"/>
      <c r="J65" s="230"/>
      <c r="K65" s="230"/>
      <c r="L65" s="230"/>
      <c r="M65" s="230"/>
      <c r="N65" s="230"/>
      <c r="O65" s="230"/>
      <c r="P65" s="230"/>
      <c r="Q65" s="230"/>
    </row>
    <row r="66" spans="1:17">
      <c r="A66" s="483"/>
      <c r="B66" s="483"/>
      <c r="C66" s="483"/>
      <c r="D66" s="483"/>
      <c r="E66" s="483"/>
      <c r="G66" s="230"/>
      <c r="H66" s="230"/>
      <c r="I66" s="230"/>
      <c r="J66" s="230"/>
      <c r="K66" s="230"/>
      <c r="L66" s="230"/>
      <c r="M66" s="230"/>
      <c r="N66" s="230"/>
      <c r="O66" s="230"/>
      <c r="P66" s="230"/>
      <c r="Q66" s="230"/>
    </row>
    <row r="67" spans="1:17">
      <c r="A67" s="483"/>
      <c r="B67" s="483"/>
      <c r="C67" s="483"/>
      <c r="D67" s="483"/>
      <c r="E67" s="483"/>
      <c r="G67" s="230"/>
      <c r="H67" s="230"/>
      <c r="I67" s="230"/>
      <c r="J67" s="230"/>
      <c r="K67" s="230"/>
      <c r="L67" s="230"/>
      <c r="M67" s="230"/>
      <c r="N67" s="230"/>
      <c r="O67" s="230"/>
      <c r="P67" s="230"/>
      <c r="Q67" s="230"/>
    </row>
    <row r="68" spans="1:17">
      <c r="A68" s="483"/>
      <c r="B68" s="483"/>
      <c r="C68" s="483"/>
      <c r="D68" s="483"/>
      <c r="E68" s="483"/>
      <c r="G68" s="230"/>
      <c r="H68" s="230"/>
      <c r="I68" s="230"/>
      <c r="J68" s="230"/>
      <c r="K68" s="230"/>
      <c r="L68" s="230"/>
      <c r="M68" s="230"/>
      <c r="N68" s="230"/>
      <c r="O68" s="230"/>
      <c r="P68" s="230"/>
      <c r="Q68" s="230"/>
    </row>
    <row r="69" spans="1:17">
      <c r="A69" s="483"/>
      <c r="B69" s="483"/>
      <c r="C69" s="483"/>
      <c r="D69" s="483"/>
      <c r="E69" s="483"/>
      <c r="G69" s="230"/>
      <c r="H69" s="230"/>
      <c r="I69" s="230"/>
      <c r="J69" s="230"/>
      <c r="K69" s="230"/>
      <c r="L69" s="230"/>
      <c r="M69" s="230"/>
      <c r="N69" s="230"/>
      <c r="O69" s="230"/>
      <c r="P69" s="230"/>
      <c r="Q69" s="230"/>
    </row>
    <row r="70" spans="1:17">
      <c r="A70" s="483"/>
      <c r="B70" s="483"/>
      <c r="C70" s="483"/>
      <c r="D70" s="483"/>
      <c r="E70" s="483"/>
      <c r="G70" s="230"/>
      <c r="H70" s="230"/>
      <c r="I70" s="230"/>
      <c r="J70" s="230"/>
      <c r="K70" s="230"/>
      <c r="L70" s="230"/>
      <c r="M70" s="230"/>
      <c r="N70" s="230"/>
      <c r="O70" s="230"/>
      <c r="P70" s="230"/>
      <c r="Q70" s="230"/>
    </row>
    <row r="71" spans="1:17">
      <c r="A71" s="483"/>
      <c r="B71" s="483"/>
      <c r="C71" s="483"/>
      <c r="D71" s="483"/>
      <c r="E71" s="483"/>
      <c r="G71" s="230"/>
      <c r="H71" s="230"/>
      <c r="I71" s="230"/>
      <c r="J71" s="230"/>
      <c r="K71" s="230"/>
      <c r="L71" s="230"/>
      <c r="M71" s="230"/>
      <c r="N71" s="230"/>
      <c r="O71" s="230"/>
      <c r="P71" s="230"/>
      <c r="Q71" s="230"/>
    </row>
    <row r="72" spans="1:17">
      <c r="A72" s="483"/>
      <c r="B72" s="483"/>
      <c r="C72" s="483"/>
      <c r="D72" s="483"/>
      <c r="E72" s="483"/>
      <c r="G72" s="230"/>
      <c r="H72" s="230"/>
      <c r="I72" s="230"/>
      <c r="J72" s="230"/>
      <c r="K72" s="230"/>
      <c r="L72" s="230"/>
      <c r="M72" s="230"/>
      <c r="N72" s="230"/>
      <c r="O72" s="230"/>
      <c r="P72" s="230"/>
      <c r="Q72" s="230"/>
    </row>
    <row r="73" spans="1:17">
      <c r="A73" s="483"/>
      <c r="B73" s="483"/>
      <c r="C73" s="483"/>
      <c r="D73" s="483"/>
      <c r="E73" s="483"/>
      <c r="G73" s="230"/>
      <c r="H73" s="230"/>
      <c r="I73" s="230"/>
      <c r="J73" s="230"/>
      <c r="K73" s="230"/>
      <c r="L73" s="230"/>
      <c r="M73" s="230"/>
      <c r="N73" s="230"/>
      <c r="O73" s="230"/>
      <c r="P73" s="230"/>
      <c r="Q73" s="230"/>
    </row>
    <row r="74" spans="1:17">
      <c r="A74" s="483"/>
      <c r="B74" s="483"/>
      <c r="C74" s="483"/>
      <c r="D74" s="483"/>
      <c r="E74" s="483"/>
      <c r="G74" s="230"/>
      <c r="H74" s="230"/>
      <c r="I74" s="230"/>
      <c r="J74" s="230"/>
      <c r="K74" s="230"/>
      <c r="L74" s="230"/>
      <c r="M74" s="230"/>
      <c r="N74" s="230"/>
      <c r="O74" s="230"/>
      <c r="P74" s="230"/>
      <c r="Q74" s="230"/>
    </row>
    <row r="75" spans="1:17">
      <c r="A75" s="483"/>
      <c r="B75" s="483"/>
      <c r="C75" s="483"/>
      <c r="D75" s="483"/>
      <c r="E75" s="483"/>
      <c r="G75" s="230"/>
      <c r="H75" s="230"/>
      <c r="I75" s="230"/>
      <c r="J75" s="230"/>
      <c r="K75" s="230"/>
      <c r="L75" s="230"/>
      <c r="M75" s="230"/>
      <c r="N75" s="230"/>
      <c r="O75" s="230"/>
      <c r="P75" s="230"/>
      <c r="Q75" s="230"/>
    </row>
    <row r="76" spans="1:17">
      <c r="A76" s="483"/>
      <c r="B76" s="483"/>
      <c r="C76" s="483"/>
      <c r="D76" s="483"/>
      <c r="E76" s="483"/>
      <c r="G76" s="230"/>
      <c r="H76" s="230"/>
      <c r="I76" s="230"/>
      <c r="J76" s="230"/>
      <c r="K76" s="230"/>
      <c r="L76" s="230"/>
      <c r="M76" s="230"/>
      <c r="N76" s="230"/>
      <c r="O76" s="230"/>
      <c r="P76" s="230"/>
      <c r="Q76" s="230"/>
    </row>
    <row r="77" spans="1:17">
      <c r="A77" s="483"/>
      <c r="B77" s="483"/>
      <c r="C77" s="483"/>
      <c r="D77" s="483"/>
      <c r="E77" s="483"/>
      <c r="G77" s="230"/>
      <c r="H77" s="230"/>
      <c r="I77" s="230"/>
      <c r="J77" s="230"/>
      <c r="K77" s="230"/>
      <c r="L77" s="230"/>
      <c r="M77" s="230"/>
      <c r="N77" s="230"/>
      <c r="O77" s="230"/>
      <c r="P77" s="230"/>
      <c r="Q77" s="230"/>
    </row>
    <row r="78" spans="1:17">
      <c r="A78" s="483"/>
      <c r="B78" s="483"/>
      <c r="C78" s="483"/>
      <c r="D78" s="483"/>
      <c r="E78" s="483"/>
      <c r="G78" s="230"/>
      <c r="H78" s="230"/>
      <c r="I78" s="230"/>
      <c r="J78" s="230"/>
      <c r="K78" s="230"/>
      <c r="L78" s="230"/>
      <c r="M78" s="230"/>
      <c r="N78" s="230"/>
      <c r="O78" s="230"/>
      <c r="P78" s="230"/>
      <c r="Q78" s="230"/>
    </row>
    <row r="79" spans="1:17">
      <c r="A79" s="483"/>
      <c r="B79" s="483"/>
      <c r="C79" s="483"/>
      <c r="D79" s="483"/>
      <c r="E79" s="483"/>
    </row>
    <row r="80" spans="1:17">
      <c r="A80" s="483"/>
      <c r="B80" s="483"/>
      <c r="C80" s="483"/>
      <c r="D80" s="483"/>
      <c r="E80" s="483"/>
    </row>
    <row r="81" spans="1:5">
      <c r="A81" s="483"/>
      <c r="B81" s="483"/>
      <c r="C81" s="483"/>
      <c r="D81" s="483"/>
      <c r="E81" s="483"/>
    </row>
    <row r="82" spans="1:5">
      <c r="A82" s="483"/>
      <c r="B82" s="483"/>
      <c r="C82" s="483"/>
      <c r="D82" s="483"/>
      <c r="E82" s="483"/>
    </row>
    <row r="83" spans="1:5">
      <c r="A83" s="483"/>
      <c r="B83" s="483"/>
      <c r="C83" s="483"/>
      <c r="D83" s="483"/>
      <c r="E83" s="483"/>
    </row>
    <row r="84" spans="1:5">
      <c r="A84" s="483"/>
      <c r="B84" s="483"/>
      <c r="C84" s="483"/>
      <c r="D84" s="483"/>
      <c r="E84" s="483"/>
    </row>
    <row r="85" spans="1:5">
      <c r="A85" s="483"/>
      <c r="B85" s="483"/>
      <c r="C85" s="483"/>
      <c r="D85" s="483"/>
      <c r="E85" s="483"/>
    </row>
    <row r="86" spans="1:5">
      <c r="A86" s="483"/>
      <c r="B86" s="483"/>
      <c r="C86" s="483"/>
      <c r="D86" s="483"/>
      <c r="E86" s="483"/>
    </row>
    <row r="87" spans="1:5">
      <c r="A87" s="483"/>
      <c r="B87" s="483"/>
      <c r="C87" s="483"/>
      <c r="D87" s="483"/>
      <c r="E87" s="483"/>
    </row>
    <row r="88" spans="1:5">
      <c r="A88" s="483"/>
      <c r="B88" s="483"/>
      <c r="C88" s="483"/>
      <c r="D88" s="483"/>
      <c r="E88" s="483"/>
    </row>
    <row r="89" spans="1:5">
      <c r="A89" s="483"/>
      <c r="B89" s="483"/>
      <c r="C89" s="483"/>
      <c r="D89" s="483"/>
      <c r="E89" s="483"/>
    </row>
    <row r="90" spans="1:5">
      <c r="A90" s="483"/>
      <c r="B90" s="483"/>
      <c r="C90" s="483"/>
      <c r="D90" s="483"/>
      <c r="E90" s="483"/>
    </row>
    <row r="91" spans="1:5">
      <c r="A91" s="483"/>
      <c r="B91" s="483"/>
      <c r="C91" s="483"/>
      <c r="D91" s="483"/>
      <c r="E91" s="483"/>
    </row>
    <row r="92" spans="1:5">
      <c r="A92" s="483"/>
      <c r="B92" s="483"/>
      <c r="C92" s="483"/>
      <c r="D92" s="483"/>
      <c r="E92" s="483"/>
    </row>
    <row r="93" spans="1:5">
      <c r="A93" s="483"/>
      <c r="B93" s="483"/>
      <c r="C93" s="483"/>
      <c r="D93" s="483"/>
      <c r="E93" s="483"/>
    </row>
    <row r="94" spans="1:5">
      <c r="A94" s="483"/>
      <c r="B94" s="483"/>
      <c r="C94" s="483"/>
      <c r="D94" s="483"/>
      <c r="E94" s="483"/>
    </row>
    <row r="95" spans="1:5">
      <c r="A95" s="483"/>
      <c r="B95" s="483"/>
      <c r="C95" s="483"/>
      <c r="D95" s="483"/>
      <c r="E95" s="483"/>
    </row>
    <row r="96" spans="1:5">
      <c r="A96" s="483"/>
      <c r="B96" s="483"/>
      <c r="C96" s="483"/>
      <c r="D96" s="483"/>
      <c r="E96" s="483"/>
    </row>
    <row r="97" spans="1:5">
      <c r="A97" s="483"/>
      <c r="B97" s="483"/>
      <c r="C97" s="483"/>
      <c r="D97" s="483"/>
      <c r="E97" s="483"/>
    </row>
    <row r="98" spans="1:5">
      <c r="A98" s="483"/>
      <c r="B98" s="483"/>
      <c r="C98" s="483"/>
      <c r="D98" s="483"/>
      <c r="E98" s="483"/>
    </row>
    <row r="99" spans="1:5">
      <c r="A99" s="483"/>
      <c r="B99" s="483"/>
      <c r="C99" s="483"/>
      <c r="D99" s="483"/>
      <c r="E99" s="483"/>
    </row>
    <row r="100" spans="1:5">
      <c r="A100" s="483"/>
      <c r="B100" s="483"/>
      <c r="C100" s="483"/>
      <c r="D100" s="483"/>
      <c r="E100" s="483"/>
    </row>
    <row r="101" spans="1:5">
      <c r="A101" s="231"/>
      <c r="B101" s="231"/>
      <c r="C101" s="231"/>
      <c r="D101" s="231"/>
      <c r="E101" s="231"/>
    </row>
    <row r="102" spans="1:5">
      <c r="A102" s="232"/>
      <c r="B102" s="232"/>
      <c r="C102" s="232"/>
      <c r="D102" s="232"/>
      <c r="E102" s="232"/>
    </row>
    <row r="103" spans="1:5">
      <c r="A103" s="229" t="s">
        <v>277</v>
      </c>
      <c r="B103" s="229"/>
      <c r="C103" s="229"/>
      <c r="D103" s="229"/>
      <c r="E103" s="229"/>
    </row>
    <row r="104" spans="1:5">
      <c r="A104" s="233" t="s">
        <v>278</v>
      </c>
      <c r="B104" s="229"/>
      <c r="C104" s="229"/>
      <c r="D104" s="229"/>
      <c r="E104" s="229"/>
    </row>
  </sheetData>
  <mergeCells count="3">
    <mergeCell ref="A64:E100"/>
    <mergeCell ref="A56:E63"/>
    <mergeCell ref="A3:E3"/>
  </mergeCells>
  <printOptions horizontalCentered="1"/>
  <pageMargins left="0.7" right="0.7" top="0.75" bottom="0.75" header="0.3" footer="0.3"/>
  <pageSetup scale="85"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rgb="FF7030A0"/>
  </sheetPr>
  <dimension ref="A1:AD40"/>
  <sheetViews>
    <sheetView showGridLines="0" zoomScale="108" zoomScaleNormal="108" workbookViewId="0">
      <pane ySplit="3" topLeftCell="A15" activePane="bottomLeft" state="frozen"/>
      <selection activeCell="A10" sqref="A10"/>
      <selection pane="bottomLeft" activeCell="A10" sqref="A10"/>
    </sheetView>
  </sheetViews>
  <sheetFormatPr defaultRowHeight="15"/>
  <cols>
    <col min="1" max="1" width="28.28515625" style="16" customWidth="1"/>
    <col min="7" max="7" width="22.42578125" customWidth="1"/>
    <col min="13" max="13" width="25.140625" customWidth="1"/>
    <col min="19" max="19" width="26.28515625" customWidth="1"/>
    <col min="25" max="25" width="21.5703125" customWidth="1"/>
  </cols>
  <sheetData>
    <row r="1" spans="1:30">
      <c r="B1" s="62"/>
      <c r="C1" s="51"/>
      <c r="D1" s="51"/>
      <c r="E1" s="51"/>
      <c r="F1" s="52"/>
      <c r="G1" s="10"/>
      <c r="H1" s="62"/>
      <c r="I1" s="51"/>
      <c r="J1" s="51"/>
      <c r="K1" s="51"/>
      <c r="L1" s="52"/>
      <c r="M1" s="91"/>
      <c r="N1" s="62"/>
      <c r="O1" s="51"/>
      <c r="P1" s="51"/>
      <c r="Q1" s="51"/>
      <c r="R1" s="52"/>
      <c r="S1" s="52"/>
      <c r="T1" s="51"/>
      <c r="U1" s="51"/>
      <c r="V1" s="51"/>
      <c r="W1" s="51"/>
      <c r="X1" s="52"/>
      <c r="Y1" s="52"/>
      <c r="Z1" s="51"/>
      <c r="AA1" s="51"/>
      <c r="AB1" s="51"/>
      <c r="AC1" s="51"/>
      <c r="AD1" s="52"/>
    </row>
    <row r="2" spans="1:30">
      <c r="A2" s="53"/>
      <c r="B2" s="63" t="s">
        <v>31</v>
      </c>
      <c r="C2" s="54" t="s">
        <v>32</v>
      </c>
      <c r="D2" s="54" t="s">
        <v>33</v>
      </c>
      <c r="E2" s="54" t="s">
        <v>34</v>
      </c>
      <c r="F2" s="55" t="s">
        <v>35</v>
      </c>
      <c r="G2" s="54"/>
      <c r="H2" s="63" t="s">
        <v>31</v>
      </c>
      <c r="I2" s="54" t="s">
        <v>32</v>
      </c>
      <c r="J2" s="54" t="s">
        <v>33</v>
      </c>
      <c r="K2" s="54" t="s">
        <v>34</v>
      </c>
      <c r="L2" s="55" t="s">
        <v>35</v>
      </c>
      <c r="M2" s="92"/>
      <c r="N2" s="63" t="s">
        <v>31</v>
      </c>
      <c r="O2" s="54" t="s">
        <v>32</v>
      </c>
      <c r="P2" s="54" t="s">
        <v>33</v>
      </c>
      <c r="Q2" s="54" t="s">
        <v>34</v>
      </c>
      <c r="R2" s="55" t="s">
        <v>35</v>
      </c>
      <c r="S2" s="57"/>
      <c r="T2" s="54" t="s">
        <v>31</v>
      </c>
      <c r="U2" s="54" t="s">
        <v>32</v>
      </c>
      <c r="V2" s="54" t="s">
        <v>33</v>
      </c>
      <c r="W2" s="54" t="s">
        <v>34</v>
      </c>
      <c r="X2" s="55" t="s">
        <v>35</v>
      </c>
      <c r="Y2" s="57"/>
      <c r="Z2" s="54" t="s">
        <v>31</v>
      </c>
      <c r="AA2" s="54" t="s">
        <v>32</v>
      </c>
      <c r="AB2" s="54" t="s">
        <v>33</v>
      </c>
      <c r="AC2" s="54" t="s">
        <v>34</v>
      </c>
      <c r="AD2" s="55" t="s">
        <v>35</v>
      </c>
    </row>
    <row r="3" spans="1:30">
      <c r="A3" s="69" t="s">
        <v>91</v>
      </c>
      <c r="B3" s="63"/>
      <c r="C3" s="54"/>
      <c r="D3" s="54"/>
      <c r="E3" s="54"/>
      <c r="F3" s="55"/>
      <c r="G3" s="88" t="s">
        <v>103</v>
      </c>
      <c r="H3" s="63"/>
      <c r="I3" s="54"/>
      <c r="J3" s="54"/>
      <c r="K3" s="54"/>
      <c r="L3" s="55"/>
      <c r="M3" s="82" t="s">
        <v>106</v>
      </c>
      <c r="N3" s="63"/>
      <c r="O3" s="54"/>
      <c r="P3" s="54"/>
      <c r="Q3" s="54"/>
      <c r="R3" s="55"/>
      <c r="S3" s="95" t="s">
        <v>105</v>
      </c>
      <c r="T3" s="10"/>
      <c r="U3" s="10"/>
      <c r="V3" s="10"/>
      <c r="W3" s="10"/>
      <c r="X3" s="57"/>
      <c r="Y3" s="95" t="s">
        <v>146</v>
      </c>
      <c r="Z3" s="10"/>
      <c r="AA3" s="10"/>
      <c r="AB3" s="10"/>
      <c r="AC3" s="10"/>
      <c r="AD3" s="57"/>
    </row>
    <row r="4" spans="1:30">
      <c r="A4" s="56"/>
      <c r="B4" s="64"/>
      <c r="C4" s="10"/>
      <c r="D4" s="10"/>
      <c r="E4" s="10"/>
      <c r="F4" s="57"/>
      <c r="G4" s="64"/>
      <c r="H4" s="64"/>
      <c r="I4" s="10"/>
      <c r="J4" s="10"/>
      <c r="K4" s="10"/>
      <c r="L4" s="57"/>
      <c r="M4" s="83"/>
      <c r="N4" s="64"/>
      <c r="O4" s="10"/>
      <c r="P4" s="10"/>
      <c r="Q4" s="10"/>
      <c r="R4" s="57"/>
      <c r="S4" s="57"/>
      <c r="T4" s="10"/>
      <c r="U4" s="10"/>
      <c r="V4" s="10"/>
      <c r="W4" s="10"/>
      <c r="X4" s="57"/>
      <c r="Y4" s="57"/>
      <c r="Z4" s="10"/>
      <c r="AA4" s="10"/>
      <c r="AB4" s="10"/>
      <c r="AC4" s="10"/>
      <c r="AD4" s="57"/>
    </row>
    <row r="5" spans="1:30">
      <c r="A5" s="58" t="s">
        <v>64</v>
      </c>
      <c r="B5" s="64"/>
      <c r="C5" s="10"/>
      <c r="D5" s="10"/>
      <c r="E5" s="10"/>
      <c r="F5" s="57"/>
      <c r="G5" s="78" t="s">
        <v>111</v>
      </c>
      <c r="H5" s="78"/>
      <c r="I5" s="33"/>
      <c r="J5" s="33"/>
      <c r="K5" s="33"/>
      <c r="L5" s="79"/>
      <c r="M5" s="85" t="s">
        <v>130</v>
      </c>
      <c r="N5" s="24"/>
      <c r="O5" s="24"/>
      <c r="P5" s="24"/>
      <c r="Q5" s="24"/>
      <c r="R5" s="24"/>
      <c r="S5" s="57" t="s">
        <v>141</v>
      </c>
      <c r="X5" s="57"/>
      <c r="Y5" s="18" t="s">
        <v>145</v>
      </c>
      <c r="Z5" s="24"/>
      <c r="AA5" s="24"/>
      <c r="AB5" s="24"/>
      <c r="AC5" s="24"/>
      <c r="AD5" s="24"/>
    </row>
    <row r="6" spans="1:30">
      <c r="A6" s="58" t="s">
        <v>65</v>
      </c>
      <c r="B6" s="64"/>
      <c r="C6" s="10"/>
      <c r="D6" s="10"/>
      <c r="E6" s="10"/>
      <c r="F6" s="57"/>
      <c r="G6" s="78" t="s">
        <v>112</v>
      </c>
      <c r="H6" s="78"/>
      <c r="I6" s="33"/>
      <c r="J6" s="33"/>
      <c r="K6" s="33"/>
      <c r="L6" s="79"/>
      <c r="M6" s="84" t="s">
        <v>131</v>
      </c>
      <c r="N6" s="78"/>
      <c r="O6" s="33"/>
      <c r="P6" s="33"/>
      <c r="Q6" s="33"/>
      <c r="R6" s="79"/>
      <c r="S6" s="96" t="s">
        <v>142</v>
      </c>
      <c r="T6" s="10"/>
      <c r="U6" s="10"/>
      <c r="V6" s="10"/>
      <c r="W6" s="10"/>
      <c r="X6" s="57"/>
      <c r="Y6" s="96"/>
      <c r="Z6" s="10"/>
      <c r="AA6" s="10"/>
      <c r="AB6" s="10"/>
      <c r="AC6" s="10"/>
      <c r="AD6" s="57"/>
    </row>
    <row r="7" spans="1:30">
      <c r="A7" s="56" t="s">
        <v>49</v>
      </c>
      <c r="B7" s="24"/>
      <c r="C7" s="24"/>
      <c r="D7" s="24"/>
      <c r="E7" s="24"/>
      <c r="F7" s="24"/>
      <c r="G7" s="78" t="s">
        <v>113</v>
      </c>
      <c r="H7" s="78"/>
      <c r="I7" s="33"/>
      <c r="J7" s="33"/>
      <c r="K7" s="33"/>
      <c r="L7" s="79"/>
      <c r="M7" s="84"/>
      <c r="N7" s="78"/>
      <c r="O7" s="33"/>
      <c r="P7" s="33"/>
      <c r="Q7" s="33"/>
      <c r="R7" s="79"/>
      <c r="S7" s="96" t="s">
        <v>143</v>
      </c>
      <c r="T7" s="10"/>
      <c r="U7" s="10"/>
      <c r="V7" s="10"/>
      <c r="W7" s="10"/>
      <c r="X7" s="57"/>
      <c r="Y7" s="98" t="s">
        <v>147</v>
      </c>
      <c r="Z7" s="94"/>
      <c r="AA7" s="24"/>
      <c r="AB7" s="24"/>
      <c r="AC7" s="24"/>
      <c r="AD7" s="24"/>
    </row>
    <row r="8" spans="1:30">
      <c r="A8" s="56"/>
      <c r="B8" s="64"/>
      <c r="C8" s="10"/>
      <c r="D8" s="10"/>
      <c r="E8" s="10"/>
      <c r="F8" s="57"/>
      <c r="G8" s="78" t="s">
        <v>118</v>
      </c>
      <c r="H8" s="78"/>
      <c r="I8" s="33"/>
      <c r="J8" s="33"/>
      <c r="K8" s="33"/>
      <c r="L8" s="79"/>
      <c r="M8" s="84" t="s">
        <v>132</v>
      </c>
      <c r="N8" s="78"/>
      <c r="O8" s="33"/>
      <c r="P8" s="33"/>
      <c r="Q8" s="33"/>
      <c r="R8" s="79"/>
      <c r="S8" s="57" t="s">
        <v>144</v>
      </c>
      <c r="T8" s="10"/>
      <c r="U8" s="10"/>
      <c r="V8" s="10"/>
      <c r="W8" s="10"/>
      <c r="X8" s="57"/>
      <c r="Y8" s="57"/>
      <c r="Z8" s="10"/>
      <c r="AA8" s="10"/>
      <c r="AB8" s="10"/>
      <c r="AC8" s="10"/>
      <c r="AD8" s="57"/>
    </row>
    <row r="9" spans="1:30">
      <c r="A9" s="58" t="s">
        <v>50</v>
      </c>
      <c r="B9" s="64"/>
      <c r="C9" s="10"/>
      <c r="D9" s="10"/>
      <c r="E9" s="10"/>
      <c r="F9" s="57"/>
      <c r="G9" s="64"/>
      <c r="H9" s="78"/>
      <c r="I9" s="33"/>
      <c r="J9" s="33"/>
      <c r="K9" s="33"/>
      <c r="L9" s="79"/>
      <c r="M9" s="84" t="s">
        <v>133</v>
      </c>
      <c r="N9" s="78"/>
      <c r="O9" s="33"/>
      <c r="P9" s="33"/>
      <c r="Q9" s="33"/>
      <c r="R9" s="79"/>
      <c r="S9" s="97" t="s">
        <v>104</v>
      </c>
      <c r="T9" s="94"/>
      <c r="U9" s="24"/>
      <c r="V9" s="24"/>
      <c r="W9" s="24"/>
      <c r="X9" s="24"/>
      <c r="Y9" s="97" t="s">
        <v>55</v>
      </c>
      <c r="Z9" s="94"/>
      <c r="AA9" s="24"/>
      <c r="AB9" s="24"/>
      <c r="AC9" s="24"/>
      <c r="AD9" s="24"/>
    </row>
    <row r="10" spans="1:30">
      <c r="A10" s="58" t="s">
        <v>92</v>
      </c>
      <c r="B10" s="64"/>
      <c r="C10" s="10"/>
      <c r="D10" s="10"/>
      <c r="E10" s="10"/>
      <c r="F10" s="57"/>
      <c r="G10" s="78" t="s">
        <v>114</v>
      </c>
      <c r="H10" s="78"/>
      <c r="I10" s="33"/>
      <c r="J10" s="33"/>
      <c r="K10" s="33"/>
      <c r="L10" s="79"/>
      <c r="M10" s="84" t="s">
        <v>134</v>
      </c>
      <c r="N10" s="78"/>
      <c r="O10" s="33"/>
      <c r="P10" s="33"/>
      <c r="Q10" s="33"/>
      <c r="R10" s="79"/>
      <c r="S10" s="57"/>
      <c r="T10" s="10"/>
      <c r="U10" s="10"/>
      <c r="V10" s="10"/>
      <c r="W10" s="10"/>
      <c r="X10" s="57"/>
      <c r="Y10" s="83"/>
      <c r="Z10" s="10"/>
      <c r="AA10" s="10"/>
      <c r="AB10" s="10"/>
      <c r="AC10" s="10"/>
      <c r="AD10" s="57"/>
    </row>
    <row r="11" spans="1:30">
      <c r="A11" s="66" t="s">
        <v>93</v>
      </c>
      <c r="B11" s="64"/>
      <c r="C11" s="10"/>
      <c r="D11" s="10"/>
      <c r="E11" s="10"/>
      <c r="F11" s="57"/>
      <c r="G11" s="78" t="s">
        <v>120</v>
      </c>
      <c r="H11" s="78"/>
      <c r="I11" s="33"/>
      <c r="J11" s="33"/>
      <c r="K11" s="33"/>
      <c r="L11" s="79"/>
      <c r="M11" s="83"/>
      <c r="N11" s="78"/>
      <c r="O11" s="33"/>
      <c r="P11" s="33"/>
      <c r="Q11" s="33"/>
      <c r="R11" s="79"/>
      <c r="S11" s="96" t="s">
        <v>71</v>
      </c>
      <c r="T11" s="10"/>
      <c r="U11" s="10"/>
      <c r="V11" s="10"/>
      <c r="W11" s="10"/>
      <c r="X11" s="57"/>
      <c r="Y11" s="98" t="s">
        <v>150</v>
      </c>
      <c r="Z11" s="94"/>
      <c r="AA11" s="24"/>
      <c r="AB11" s="24"/>
      <c r="AC11" s="24"/>
      <c r="AD11" s="24"/>
    </row>
    <row r="12" spans="1:30">
      <c r="A12" s="67" t="s">
        <v>94</v>
      </c>
      <c r="B12" s="24"/>
      <c r="C12" s="24"/>
      <c r="D12" s="24"/>
      <c r="E12" s="24"/>
      <c r="F12" s="24"/>
      <c r="G12" s="78"/>
      <c r="H12" s="78"/>
      <c r="I12" s="33"/>
      <c r="J12" s="33"/>
      <c r="K12" s="33"/>
      <c r="L12" s="79"/>
      <c r="M12" s="84" t="s">
        <v>135</v>
      </c>
      <c r="N12" s="78"/>
      <c r="O12" s="33"/>
      <c r="P12" s="33"/>
      <c r="Q12" s="33"/>
      <c r="R12" s="79"/>
      <c r="S12" s="96" t="s">
        <v>72</v>
      </c>
      <c r="T12" s="60"/>
      <c r="U12" s="60"/>
      <c r="V12" s="60"/>
      <c r="W12" s="60"/>
      <c r="X12" s="61"/>
      <c r="Y12" s="98"/>
      <c r="Z12" s="10"/>
      <c r="AA12" s="10"/>
      <c r="AB12" s="10"/>
      <c r="AC12" s="10"/>
      <c r="AD12" s="57"/>
    </row>
    <row r="13" spans="1:30">
      <c r="A13" s="59"/>
      <c r="B13" s="64"/>
      <c r="C13" s="10"/>
      <c r="D13" s="10"/>
      <c r="E13" s="10"/>
      <c r="F13" s="57"/>
      <c r="G13" s="86" t="s">
        <v>119</v>
      </c>
      <c r="H13" s="24"/>
      <c r="I13" s="24"/>
      <c r="J13" s="24"/>
      <c r="K13" s="24"/>
      <c r="L13" s="24"/>
      <c r="M13" s="84" t="s">
        <v>136</v>
      </c>
      <c r="N13" s="78"/>
      <c r="O13" s="33"/>
      <c r="P13" s="33"/>
      <c r="Q13" s="33"/>
      <c r="R13" s="33"/>
      <c r="S13" s="100" t="s">
        <v>78</v>
      </c>
      <c r="T13" s="94"/>
      <c r="U13" s="24"/>
      <c r="V13" s="24"/>
      <c r="W13" s="24"/>
      <c r="X13" s="24"/>
      <c r="Y13" s="98" t="s">
        <v>152</v>
      </c>
      <c r="Z13" s="94"/>
      <c r="AA13" s="24"/>
      <c r="AB13" s="24"/>
      <c r="AC13" s="24"/>
      <c r="AD13" s="24"/>
    </row>
    <row r="14" spans="1:30">
      <c r="A14" s="50" t="s">
        <v>55</v>
      </c>
      <c r="B14" s="24"/>
      <c r="C14" s="24"/>
      <c r="D14" s="24"/>
      <c r="E14" s="24"/>
      <c r="F14" s="24"/>
      <c r="G14" s="78"/>
      <c r="H14" s="78"/>
      <c r="I14" s="33"/>
      <c r="J14" s="33"/>
      <c r="K14" s="33"/>
      <c r="L14" s="79"/>
      <c r="M14" s="84"/>
      <c r="N14" s="78"/>
      <c r="O14" s="33"/>
      <c r="P14" s="33"/>
      <c r="Q14" s="33"/>
      <c r="R14" s="33"/>
      <c r="S14" s="49" t="s">
        <v>148</v>
      </c>
      <c r="T14" s="99"/>
      <c r="U14" s="101"/>
      <c r="V14" s="101"/>
      <c r="W14" s="101"/>
      <c r="X14" s="101"/>
      <c r="Y14" s="100"/>
      <c r="Z14" s="10"/>
      <c r="AA14" s="10"/>
      <c r="AB14" s="10"/>
      <c r="AC14" s="10"/>
      <c r="AD14" s="57"/>
    </row>
    <row r="15" spans="1:30">
      <c r="A15" s="56"/>
      <c r="B15" s="64"/>
      <c r="C15" s="10"/>
      <c r="D15" s="10"/>
      <c r="E15" s="10"/>
      <c r="F15" s="57"/>
      <c r="G15" s="78" t="s">
        <v>121</v>
      </c>
      <c r="H15" s="78"/>
      <c r="I15" s="33"/>
      <c r="J15" s="33"/>
      <c r="K15" s="33"/>
      <c r="L15" s="79"/>
      <c r="M15" s="84" t="s">
        <v>137</v>
      </c>
      <c r="N15" s="78"/>
      <c r="O15" s="33"/>
      <c r="P15" s="33"/>
      <c r="Q15" s="33"/>
      <c r="R15" s="79"/>
      <c r="Y15" s="100" t="s">
        <v>151</v>
      </c>
      <c r="Z15" s="94"/>
      <c r="AA15" s="24"/>
      <c r="AB15" s="24"/>
      <c r="AC15" s="24"/>
      <c r="AD15" s="24"/>
    </row>
    <row r="16" spans="1:30">
      <c r="A16" s="58" t="s">
        <v>95</v>
      </c>
      <c r="B16" s="64"/>
      <c r="C16" s="10"/>
      <c r="D16" s="10"/>
      <c r="E16" s="10"/>
      <c r="F16" s="57"/>
      <c r="G16" s="78" t="s">
        <v>122</v>
      </c>
      <c r="H16" s="78"/>
      <c r="I16" s="33"/>
      <c r="J16" s="33"/>
      <c r="K16" s="33"/>
      <c r="L16" s="79"/>
      <c r="M16" s="84"/>
      <c r="N16" s="78"/>
      <c r="O16" s="33"/>
      <c r="P16" s="33"/>
      <c r="Q16" s="33"/>
      <c r="R16" s="79"/>
      <c r="S16" s="29"/>
      <c r="Y16" s="103"/>
      <c r="Z16" s="62"/>
      <c r="AA16" s="51"/>
      <c r="AB16" s="51"/>
      <c r="AC16" s="51"/>
      <c r="AD16" s="52"/>
    </row>
    <row r="17" spans="1:30">
      <c r="A17" s="58" t="s">
        <v>56</v>
      </c>
      <c r="B17" s="64"/>
      <c r="C17" s="10"/>
      <c r="D17" s="10"/>
      <c r="E17" s="10"/>
      <c r="F17" s="57"/>
      <c r="G17" s="78" t="s">
        <v>123</v>
      </c>
      <c r="H17" s="78"/>
      <c r="I17" s="33"/>
      <c r="J17" s="33"/>
      <c r="K17" s="33"/>
      <c r="L17" s="79"/>
      <c r="M17" s="84" t="s">
        <v>138</v>
      </c>
      <c r="N17" s="78"/>
      <c r="O17" s="33"/>
      <c r="P17" s="33"/>
      <c r="Q17" s="33"/>
      <c r="R17" s="79"/>
      <c r="S17" s="29"/>
      <c r="Y17" s="102" t="s">
        <v>149</v>
      </c>
      <c r="Z17" s="64"/>
      <c r="AA17" s="10"/>
      <c r="AB17" s="10"/>
      <c r="AC17" s="10"/>
      <c r="AD17" s="57"/>
    </row>
    <row r="18" spans="1:30">
      <c r="A18" s="17" t="s">
        <v>96</v>
      </c>
      <c r="B18" s="64"/>
      <c r="C18" s="10"/>
      <c r="D18" s="10"/>
      <c r="E18" s="10"/>
      <c r="F18" s="57"/>
      <c r="G18" s="64"/>
      <c r="H18" s="64"/>
      <c r="I18" s="10"/>
      <c r="J18" s="10"/>
      <c r="K18" s="10"/>
      <c r="L18" s="57"/>
      <c r="M18" s="83"/>
      <c r="N18" s="64"/>
      <c r="O18" s="10"/>
      <c r="P18" s="10"/>
      <c r="Q18" s="10"/>
      <c r="R18" s="57"/>
      <c r="S18" s="29"/>
      <c r="Y18" s="104"/>
      <c r="Z18" s="65"/>
      <c r="AA18" s="60"/>
      <c r="AB18" s="60"/>
      <c r="AC18" s="60"/>
      <c r="AD18" s="61"/>
    </row>
    <row r="19" spans="1:30">
      <c r="A19" s="17" t="s">
        <v>102</v>
      </c>
      <c r="B19" s="64"/>
      <c r="C19" s="10"/>
      <c r="D19" s="10"/>
      <c r="E19" s="10"/>
      <c r="F19" s="57"/>
      <c r="G19" s="86" t="s">
        <v>124</v>
      </c>
      <c r="H19" s="24"/>
      <c r="I19" s="24"/>
      <c r="J19" s="24"/>
      <c r="K19" s="24"/>
      <c r="L19" s="24"/>
      <c r="M19" s="83" t="s">
        <v>139</v>
      </c>
      <c r="N19" s="64"/>
      <c r="O19" s="10"/>
      <c r="P19" s="10"/>
      <c r="Q19" s="10"/>
      <c r="R19" s="57"/>
    </row>
    <row r="20" spans="1:30">
      <c r="A20" s="17" t="s">
        <v>97</v>
      </c>
      <c r="B20" s="64"/>
      <c r="C20" s="10"/>
      <c r="D20" s="10"/>
      <c r="E20" s="10"/>
      <c r="F20" s="57"/>
      <c r="G20" s="64"/>
      <c r="H20" s="64"/>
      <c r="I20" s="10"/>
      <c r="J20" s="10"/>
      <c r="K20" s="10"/>
      <c r="L20" s="57"/>
      <c r="M20" s="83"/>
      <c r="N20" s="64"/>
      <c r="O20" s="10"/>
      <c r="P20" s="10"/>
      <c r="Q20" s="10"/>
      <c r="R20" s="57"/>
    </row>
    <row r="21" spans="1:30">
      <c r="A21" s="17" t="s">
        <v>98</v>
      </c>
      <c r="B21" s="64"/>
      <c r="C21" s="10"/>
      <c r="D21" s="10"/>
      <c r="E21" s="10"/>
      <c r="F21" s="57"/>
      <c r="G21" s="78" t="s">
        <v>125</v>
      </c>
      <c r="H21" s="64"/>
      <c r="I21" s="10"/>
      <c r="J21" s="10"/>
      <c r="K21" s="10"/>
      <c r="L21" s="57"/>
      <c r="M21" s="93" t="s">
        <v>140</v>
      </c>
      <c r="N21" s="24"/>
      <c r="O21" s="24"/>
      <c r="P21" s="24"/>
      <c r="Q21" s="24"/>
      <c r="R21" s="24"/>
    </row>
    <row r="22" spans="1:30">
      <c r="A22" s="17" t="s">
        <v>99</v>
      </c>
      <c r="B22" s="64"/>
      <c r="C22" s="10"/>
      <c r="D22" s="10"/>
      <c r="E22" s="10"/>
      <c r="F22" s="57"/>
      <c r="G22" s="78" t="s">
        <v>126</v>
      </c>
      <c r="H22" s="64"/>
      <c r="I22" s="10"/>
      <c r="J22" s="10"/>
      <c r="K22" s="10"/>
      <c r="L22" s="57"/>
      <c r="M22" s="49"/>
      <c r="N22" s="65"/>
      <c r="O22" s="60"/>
      <c r="P22" s="60"/>
      <c r="Q22" s="60"/>
      <c r="R22" s="61"/>
    </row>
    <row r="23" spans="1:30">
      <c r="A23" s="17" t="s">
        <v>12</v>
      </c>
      <c r="B23" s="64"/>
      <c r="C23" s="10"/>
      <c r="D23" s="10"/>
      <c r="E23" s="10"/>
      <c r="F23" s="57"/>
      <c r="G23" s="78" t="s">
        <v>127</v>
      </c>
      <c r="H23" s="64"/>
      <c r="I23" s="10"/>
      <c r="J23" s="10"/>
      <c r="K23" s="10"/>
      <c r="L23" s="57"/>
      <c r="M23" s="10"/>
      <c r="N23" s="10"/>
      <c r="O23" s="10"/>
      <c r="P23" s="10"/>
      <c r="Q23" s="10"/>
      <c r="R23" s="10"/>
    </row>
    <row r="24" spans="1:30">
      <c r="A24" s="17" t="s">
        <v>100</v>
      </c>
      <c r="B24" s="64"/>
      <c r="C24" s="10"/>
      <c r="D24" s="10"/>
      <c r="E24" s="10"/>
      <c r="F24" s="57"/>
      <c r="G24" s="64"/>
      <c r="H24" s="64"/>
      <c r="I24" s="10"/>
      <c r="J24" s="10"/>
      <c r="K24" s="10"/>
      <c r="L24" s="57"/>
      <c r="M24" s="10"/>
      <c r="N24" s="10"/>
      <c r="O24" s="10"/>
      <c r="P24" s="10"/>
      <c r="Q24" s="10"/>
      <c r="R24" s="10"/>
    </row>
    <row r="25" spans="1:30">
      <c r="A25" s="14" t="s">
        <v>90</v>
      </c>
      <c r="B25" s="64"/>
      <c r="C25" s="10"/>
      <c r="D25" s="10"/>
      <c r="E25" s="10"/>
      <c r="F25" s="57"/>
      <c r="G25" s="78" t="s">
        <v>128</v>
      </c>
      <c r="H25" s="64"/>
      <c r="I25" s="10"/>
      <c r="J25" s="10"/>
      <c r="K25" s="10"/>
      <c r="L25" s="57"/>
      <c r="M25" s="33"/>
      <c r="N25" s="33"/>
      <c r="O25" s="33"/>
      <c r="P25" s="33"/>
      <c r="Q25" s="33"/>
      <c r="R25" s="33"/>
    </row>
    <row r="26" spans="1:30">
      <c r="A26" s="15" t="s">
        <v>101</v>
      </c>
      <c r="B26" s="24"/>
      <c r="C26" s="24"/>
      <c r="D26" s="24"/>
      <c r="E26" s="24"/>
      <c r="F26" s="24"/>
      <c r="G26" s="78"/>
      <c r="H26" s="78"/>
      <c r="I26" s="33"/>
      <c r="J26" s="33"/>
      <c r="K26" s="33"/>
      <c r="L26" s="79"/>
      <c r="M26" s="33"/>
      <c r="N26" s="33"/>
      <c r="O26" s="33"/>
      <c r="P26" s="33"/>
      <c r="Q26" s="33"/>
      <c r="R26" s="33"/>
      <c r="S26" s="29"/>
      <c r="T26" s="29"/>
      <c r="U26" s="29"/>
      <c r="V26" s="29"/>
      <c r="W26" s="29"/>
      <c r="X26" s="29"/>
    </row>
    <row r="27" spans="1:30">
      <c r="A27" s="14"/>
      <c r="B27" s="64"/>
      <c r="C27" s="10"/>
      <c r="D27" s="10"/>
      <c r="E27" s="10"/>
      <c r="F27" s="57"/>
      <c r="G27" s="86" t="s">
        <v>129</v>
      </c>
      <c r="H27" s="24"/>
      <c r="I27" s="24"/>
      <c r="J27" s="24"/>
      <c r="K27" s="24"/>
      <c r="L27" s="24"/>
      <c r="M27" s="33"/>
      <c r="N27" s="33"/>
      <c r="O27" s="33"/>
      <c r="P27" s="33"/>
      <c r="Q27" s="33"/>
      <c r="R27" s="33"/>
      <c r="S27" s="29"/>
      <c r="T27" s="29"/>
      <c r="U27" s="29"/>
      <c r="V27" s="29"/>
      <c r="W27" s="29"/>
      <c r="X27" s="29"/>
    </row>
    <row r="28" spans="1:30">
      <c r="A28" s="11" t="s">
        <v>74</v>
      </c>
      <c r="B28" s="24"/>
      <c r="C28" s="24"/>
      <c r="D28" s="24"/>
      <c r="E28" s="24"/>
      <c r="F28" s="24"/>
      <c r="G28" s="87"/>
      <c r="H28" s="87"/>
      <c r="I28" s="89"/>
      <c r="J28" s="89"/>
      <c r="K28" s="89"/>
      <c r="L28" s="90"/>
      <c r="M28" s="33"/>
      <c r="N28" s="33"/>
      <c r="O28" s="33"/>
      <c r="P28" s="33"/>
      <c r="Q28" s="33"/>
      <c r="R28" s="33"/>
      <c r="S28" s="29"/>
      <c r="T28" s="29"/>
      <c r="U28" s="29"/>
      <c r="V28" s="29"/>
      <c r="W28" s="29"/>
      <c r="X28" s="29"/>
    </row>
    <row r="29" spans="1:30">
      <c r="A29" s="14" t="s">
        <v>73</v>
      </c>
      <c r="B29" s="64"/>
      <c r="C29" s="10"/>
      <c r="D29" s="10"/>
      <c r="E29" s="10"/>
      <c r="F29" s="57"/>
      <c r="G29" s="10"/>
      <c r="H29" s="10"/>
      <c r="I29" s="10"/>
      <c r="J29" s="10"/>
      <c r="K29" s="10"/>
      <c r="L29" s="10"/>
      <c r="M29" s="10"/>
      <c r="N29" s="10"/>
      <c r="O29" s="10"/>
      <c r="P29" s="10"/>
      <c r="Q29" s="10"/>
      <c r="R29" s="10"/>
      <c r="S29" s="29"/>
      <c r="T29" s="29"/>
      <c r="U29" s="29"/>
      <c r="V29" s="29"/>
      <c r="W29" s="29"/>
      <c r="X29" s="29"/>
    </row>
    <row r="30" spans="1:30">
      <c r="A30" s="14" t="s">
        <v>58</v>
      </c>
      <c r="B30" s="64"/>
      <c r="C30" s="10"/>
      <c r="D30" s="10"/>
      <c r="E30" s="10"/>
      <c r="F30" s="57"/>
      <c r="G30" s="10"/>
      <c r="H30" s="10"/>
      <c r="I30" s="10"/>
      <c r="J30" s="10"/>
      <c r="K30" s="10"/>
      <c r="L30" s="10"/>
      <c r="M30" s="10"/>
      <c r="N30" s="10"/>
      <c r="O30" s="10"/>
      <c r="P30" s="10"/>
      <c r="Q30" s="10"/>
      <c r="R30" s="10"/>
    </row>
    <row r="31" spans="1:30">
      <c r="A31" s="15" t="s">
        <v>59</v>
      </c>
      <c r="B31" s="64"/>
      <c r="C31" s="10"/>
      <c r="D31" s="10"/>
      <c r="E31" s="10"/>
      <c r="F31" s="57"/>
      <c r="G31" s="10"/>
      <c r="H31" s="10"/>
      <c r="I31" s="10"/>
      <c r="J31" s="10"/>
      <c r="K31" s="10"/>
      <c r="L31" s="10"/>
      <c r="M31" s="10"/>
      <c r="N31" s="10"/>
      <c r="O31" s="10"/>
      <c r="P31" s="10"/>
      <c r="Q31" s="10"/>
      <c r="R31" s="10"/>
    </row>
    <row r="32" spans="1:30">
      <c r="A32" s="11" t="s">
        <v>60</v>
      </c>
      <c r="B32" s="64"/>
      <c r="C32" s="10"/>
      <c r="D32" s="10"/>
      <c r="E32" s="10"/>
      <c r="F32" s="57"/>
      <c r="G32" s="33"/>
      <c r="H32" s="33"/>
      <c r="I32" s="33"/>
      <c r="J32" s="33"/>
      <c r="K32" s="33"/>
      <c r="L32" s="33"/>
      <c r="M32" s="33"/>
      <c r="N32" s="33"/>
      <c r="O32" s="33"/>
      <c r="P32" s="33"/>
      <c r="Q32" s="33"/>
      <c r="R32" s="33"/>
    </row>
    <row r="33" spans="1:22">
      <c r="A33" s="15" t="s">
        <v>61</v>
      </c>
      <c r="B33" s="24"/>
      <c r="C33" s="24"/>
      <c r="D33" s="24"/>
      <c r="E33" s="24"/>
      <c r="F33" s="24"/>
      <c r="G33" s="33"/>
      <c r="H33" s="33"/>
      <c r="I33" s="33"/>
      <c r="J33" s="33"/>
      <c r="K33" s="33"/>
      <c r="L33" s="33"/>
      <c r="M33" s="33"/>
      <c r="N33" s="33"/>
      <c r="O33" s="33"/>
      <c r="P33" s="33"/>
      <c r="Q33" s="33"/>
      <c r="R33" s="33"/>
      <c r="S33" s="29"/>
      <c r="T33" s="29"/>
      <c r="U33" s="29"/>
    </row>
    <row r="34" spans="1:22">
      <c r="A34" s="50"/>
      <c r="B34" s="78"/>
      <c r="C34" s="33"/>
      <c r="D34" s="33"/>
      <c r="E34" s="33"/>
      <c r="F34" s="79"/>
      <c r="G34" s="33"/>
      <c r="H34" s="33"/>
      <c r="I34" s="33"/>
      <c r="J34" s="33"/>
      <c r="K34" s="33"/>
      <c r="L34" s="33"/>
      <c r="M34" s="33"/>
      <c r="N34" s="33"/>
      <c r="O34" s="33"/>
      <c r="P34" s="33"/>
      <c r="Q34" s="33"/>
      <c r="R34" s="33"/>
      <c r="S34" s="29"/>
      <c r="T34" s="29"/>
      <c r="U34" s="29"/>
    </row>
    <row r="35" spans="1:22">
      <c r="A35" s="50" t="s">
        <v>117</v>
      </c>
      <c r="B35" s="64"/>
      <c r="C35" s="10"/>
      <c r="D35" s="10"/>
      <c r="E35" s="10"/>
      <c r="F35" s="57"/>
      <c r="G35" s="33"/>
      <c r="H35" s="33"/>
      <c r="I35" s="33"/>
      <c r="J35" s="33"/>
      <c r="K35" s="33"/>
      <c r="L35" s="33"/>
      <c r="M35" s="33"/>
      <c r="N35" s="33"/>
      <c r="O35" s="33"/>
      <c r="P35" s="33"/>
      <c r="Q35" s="33"/>
      <c r="R35" s="33"/>
      <c r="S35" s="29"/>
      <c r="T35" s="29"/>
      <c r="U35" s="29"/>
      <c r="V35" s="29"/>
    </row>
    <row r="36" spans="1:22">
      <c r="A36" s="80" t="s">
        <v>116</v>
      </c>
      <c r="B36" s="64"/>
      <c r="C36" s="10"/>
      <c r="D36" s="10"/>
      <c r="E36" s="10"/>
      <c r="F36" s="57"/>
      <c r="G36" s="33"/>
      <c r="H36" s="33"/>
      <c r="I36" s="33"/>
      <c r="J36" s="33"/>
      <c r="K36" s="33"/>
      <c r="L36" s="33"/>
      <c r="M36" s="33"/>
      <c r="N36" s="33"/>
      <c r="O36" s="33"/>
      <c r="P36" s="33"/>
      <c r="Q36" s="33"/>
      <c r="R36" s="33"/>
      <c r="S36" s="29"/>
      <c r="T36" s="29"/>
      <c r="U36" s="29"/>
    </row>
    <row r="37" spans="1:22">
      <c r="A37" s="81" t="s">
        <v>63</v>
      </c>
      <c r="B37" s="65"/>
      <c r="C37" s="60"/>
      <c r="D37" s="60"/>
      <c r="E37" s="60"/>
      <c r="F37" s="61"/>
      <c r="G37" s="33"/>
      <c r="H37" s="33"/>
      <c r="I37" s="33"/>
      <c r="J37" s="33"/>
      <c r="K37" s="33"/>
      <c r="L37" s="33"/>
      <c r="M37" s="33"/>
      <c r="N37" s="33"/>
      <c r="O37" s="33"/>
      <c r="P37" s="33"/>
      <c r="Q37" s="33"/>
      <c r="R37" s="33"/>
      <c r="S37" s="29"/>
      <c r="T37" s="29"/>
      <c r="U37" s="29"/>
    </row>
    <row r="38" spans="1:22">
      <c r="G38" s="29"/>
      <c r="H38" s="29"/>
      <c r="I38" s="29"/>
      <c r="J38" s="29"/>
      <c r="K38" s="29"/>
      <c r="L38" s="29"/>
      <c r="M38" s="29"/>
      <c r="N38" s="29"/>
      <c r="O38" s="29"/>
      <c r="P38" s="29"/>
      <c r="Q38" s="29"/>
      <c r="R38" s="29"/>
      <c r="S38" s="29"/>
      <c r="T38" s="29"/>
      <c r="U38" s="29"/>
    </row>
    <row r="39" spans="1:22">
      <c r="A39" s="77"/>
      <c r="G39" s="29"/>
      <c r="H39" s="29"/>
      <c r="I39" s="29"/>
      <c r="J39" s="29"/>
      <c r="K39" s="29"/>
      <c r="L39" s="29"/>
      <c r="M39" s="29"/>
      <c r="N39" s="29"/>
      <c r="O39" s="29"/>
      <c r="P39" s="29"/>
      <c r="Q39" s="29"/>
      <c r="R39" s="29"/>
      <c r="S39" s="29"/>
      <c r="T39" s="29"/>
      <c r="U39" s="29"/>
    </row>
    <row r="40" spans="1:22">
      <c r="S40" s="29"/>
      <c r="T40" s="29"/>
      <c r="U40" s="2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tint="0.39997558519241921"/>
    <pageSetUpPr fitToPage="1"/>
  </sheetPr>
  <dimension ref="A1:Q106"/>
  <sheetViews>
    <sheetView showGridLines="0" tabSelected="1" zoomScaleNormal="100" workbookViewId="0">
      <selection activeCell="C6" sqref="C6"/>
    </sheetView>
  </sheetViews>
  <sheetFormatPr defaultRowHeight="15"/>
  <cols>
    <col min="2" max="2" width="1.85546875" customWidth="1"/>
    <col min="3" max="3" width="35.7109375" customWidth="1"/>
    <col min="4" max="4" width="17.7109375" bestFit="1" customWidth="1"/>
    <col min="5" max="5" width="2.140625" customWidth="1"/>
    <col min="6" max="9" width="10.42578125" bestFit="1" customWidth="1"/>
    <col min="10" max="10" width="8.42578125" customWidth="1"/>
    <col min="11" max="11" width="8.28515625" style="8" bestFit="1" customWidth="1"/>
    <col min="12" max="12" width="13.5703125" customWidth="1"/>
    <col min="13" max="13" width="6.42578125" style="29" customWidth="1"/>
    <col min="14" max="17" width="1.140625" style="29" customWidth="1"/>
  </cols>
  <sheetData>
    <row r="1" spans="2:17" ht="23.25">
      <c r="B1" s="457" t="s">
        <v>543</v>
      </c>
      <c r="C1" s="457"/>
    </row>
    <row r="2" spans="2:17" ht="34.5" customHeight="1">
      <c r="B2" s="465" t="s">
        <v>549</v>
      </c>
      <c r="C2" s="465"/>
      <c r="D2" s="465"/>
      <c r="E2" s="465"/>
      <c r="F2" s="465"/>
      <c r="G2" s="465"/>
      <c r="H2" s="465"/>
      <c r="I2" s="465"/>
      <c r="J2" s="465"/>
      <c r="K2" s="465"/>
      <c r="L2" s="465"/>
      <c r="M2" s="465"/>
    </row>
    <row r="3" spans="2:17" ht="46.5" customHeight="1">
      <c r="B3" s="27"/>
      <c r="C3" s="462" t="s">
        <v>206</v>
      </c>
      <c r="D3" s="191"/>
      <c r="E3" s="191"/>
      <c r="F3" s="191"/>
      <c r="G3" s="191"/>
      <c r="H3" s="191"/>
      <c r="I3" s="191"/>
      <c r="J3" s="191"/>
      <c r="K3" s="192"/>
      <c r="L3" s="191"/>
      <c r="M3" s="191"/>
      <c r="N3" s="27"/>
    </row>
    <row r="4" spans="2:17" ht="15" hidden="1" customHeight="1">
      <c r="B4" s="27"/>
      <c r="D4" s="1"/>
      <c r="E4" s="1"/>
      <c r="F4" s="1"/>
      <c r="G4" s="1"/>
      <c r="H4" s="1"/>
      <c r="I4" s="1"/>
      <c r="J4" s="1"/>
      <c r="K4" s="45"/>
      <c r="L4" s="21"/>
      <c r="M4" s="30"/>
      <c r="N4" s="34"/>
      <c r="O4" s="30"/>
      <c r="P4" s="30"/>
      <c r="Q4" s="30"/>
    </row>
    <row r="5" spans="2:17" ht="15" customHeight="1">
      <c r="B5" s="27"/>
      <c r="D5" s="1"/>
      <c r="E5" s="1"/>
      <c r="F5" s="1"/>
      <c r="G5" s="1"/>
      <c r="H5" s="1"/>
      <c r="I5" s="1"/>
      <c r="J5" s="1"/>
      <c r="K5" s="45"/>
      <c r="L5" s="21"/>
      <c r="M5" s="30"/>
      <c r="N5" s="34"/>
      <c r="O5" s="30"/>
      <c r="P5" s="30"/>
      <c r="Q5" s="30"/>
    </row>
    <row r="6" spans="2:17" ht="15" customHeight="1">
      <c r="B6" s="27"/>
      <c r="C6" s="348" t="s">
        <v>284</v>
      </c>
      <c r="D6" s="467" t="s">
        <v>281</v>
      </c>
      <c r="E6" s="468"/>
      <c r="F6" s="469"/>
      <c r="G6" s="1"/>
      <c r="H6" s="1"/>
      <c r="I6" s="1"/>
      <c r="J6" s="1"/>
      <c r="K6" s="45"/>
      <c r="L6" s="21"/>
      <c r="M6" s="30"/>
      <c r="N6" s="34"/>
      <c r="O6" s="30"/>
      <c r="P6" s="30"/>
      <c r="Q6" s="30"/>
    </row>
    <row r="7" spans="2:17" ht="15" customHeight="1">
      <c r="B7" s="27"/>
      <c r="D7" s="1"/>
      <c r="E7" s="1"/>
      <c r="F7" s="1"/>
      <c r="G7" s="1"/>
      <c r="H7" s="1"/>
      <c r="I7" s="1"/>
      <c r="J7" s="1"/>
      <c r="K7" s="45"/>
      <c r="L7" s="21"/>
      <c r="M7" s="30"/>
      <c r="N7" s="34"/>
      <c r="O7" s="30"/>
      <c r="P7" s="30"/>
      <c r="Q7" s="30"/>
    </row>
    <row r="8" spans="2:17" s="2" customFormat="1" ht="11.25" customHeight="1">
      <c r="B8" s="36"/>
      <c r="D8" s="189"/>
      <c r="E8" s="189"/>
      <c r="F8" s="189"/>
      <c r="G8" s="189"/>
      <c r="H8" s="189"/>
      <c r="I8" s="189"/>
      <c r="J8" s="189"/>
      <c r="K8" s="353"/>
      <c r="L8" s="354"/>
      <c r="M8" s="31"/>
      <c r="N8" s="35"/>
      <c r="O8" s="31"/>
      <c r="P8" s="31"/>
      <c r="Q8" s="31"/>
    </row>
    <row r="9" spans="2:17" s="2" customFormat="1" ht="21">
      <c r="B9" s="36"/>
      <c r="C9" s="346" t="s">
        <v>200</v>
      </c>
      <c r="K9" s="355"/>
      <c r="L9" s="107"/>
      <c r="M9" s="32"/>
      <c r="N9" s="36"/>
      <c r="O9" s="32"/>
      <c r="P9" s="32"/>
      <c r="Q9" s="32"/>
    </row>
    <row r="10" spans="2:17" ht="21">
      <c r="B10" s="27"/>
      <c r="C10" s="348" t="s">
        <v>201</v>
      </c>
      <c r="D10" s="345">
        <v>19</v>
      </c>
      <c r="E10" s="187"/>
      <c r="F10" s="188"/>
      <c r="G10" s="188"/>
      <c r="H10" s="188"/>
      <c r="I10" s="188"/>
      <c r="J10" s="188"/>
      <c r="K10" s="356"/>
      <c r="L10" s="33"/>
      <c r="M10" s="33"/>
      <c r="N10" s="37"/>
      <c r="O10" s="33"/>
      <c r="P10" s="33"/>
      <c r="Q10" s="33"/>
    </row>
    <row r="11" spans="2:17" ht="21">
      <c r="B11" s="27"/>
      <c r="C11" s="348" t="s">
        <v>199</v>
      </c>
      <c r="D11" s="345">
        <v>25</v>
      </c>
      <c r="E11" s="187"/>
      <c r="F11" s="188"/>
      <c r="G11" s="188"/>
      <c r="H11" s="188"/>
      <c r="I11" s="188"/>
      <c r="J11" s="188"/>
      <c r="K11" s="356"/>
      <c r="L11" s="33"/>
      <c r="M11" s="33"/>
      <c r="N11" s="37"/>
      <c r="O11" s="33"/>
      <c r="P11" s="33"/>
      <c r="Q11" s="33"/>
    </row>
    <row r="12" spans="2:17" ht="8.25" customHeight="1">
      <c r="B12" s="27"/>
      <c r="D12" s="187"/>
      <c r="E12" s="187"/>
      <c r="F12" s="188"/>
      <c r="G12" s="188"/>
      <c r="H12" s="188"/>
      <c r="I12" s="188"/>
      <c r="J12" s="188"/>
      <c r="K12" s="106"/>
      <c r="L12" s="33"/>
      <c r="N12" s="27"/>
    </row>
    <row r="13" spans="2:17" ht="21">
      <c r="B13" s="27"/>
      <c r="C13" s="346" t="s">
        <v>197</v>
      </c>
      <c r="D13" s="187"/>
      <c r="E13" s="187"/>
      <c r="F13" s="188"/>
      <c r="G13" s="188"/>
      <c r="H13" s="188"/>
      <c r="I13" s="188"/>
      <c r="J13" s="188"/>
      <c r="K13" s="106"/>
      <c r="L13" s="33"/>
      <c r="N13" s="27"/>
    </row>
    <row r="14" spans="2:17" ht="21">
      <c r="B14" s="27"/>
      <c r="C14" s="348" t="s">
        <v>198</v>
      </c>
      <c r="D14" s="344">
        <v>3</v>
      </c>
      <c r="E14" s="343"/>
      <c r="F14" s="48"/>
      <c r="G14" s="48"/>
      <c r="H14" s="48"/>
      <c r="I14" s="48"/>
      <c r="J14" s="48"/>
      <c r="K14" s="33"/>
      <c r="L14" s="33"/>
      <c r="N14" s="27"/>
    </row>
    <row r="15" spans="2:17" ht="21">
      <c r="B15" s="27"/>
      <c r="C15" s="348" t="s">
        <v>199</v>
      </c>
      <c r="D15" s="344">
        <v>3</v>
      </c>
      <c r="E15" s="343"/>
      <c r="F15" s="48"/>
      <c r="G15" s="48"/>
      <c r="H15" s="48"/>
      <c r="I15" s="48"/>
      <c r="J15" s="48"/>
      <c r="K15" s="33"/>
      <c r="L15" s="33"/>
      <c r="N15" s="27"/>
    </row>
    <row r="16" spans="2:17" ht="8.25" customHeight="1">
      <c r="B16" s="27"/>
      <c r="D16" s="187"/>
      <c r="E16" s="187"/>
      <c r="F16" s="188"/>
      <c r="G16" s="188"/>
      <c r="H16" s="188"/>
      <c r="I16" s="188"/>
      <c r="J16" s="188"/>
      <c r="K16" s="106"/>
      <c r="L16" s="33"/>
      <c r="N16" s="27"/>
    </row>
    <row r="17" spans="2:14" ht="21">
      <c r="B17" s="27"/>
      <c r="C17" s="346" t="s">
        <v>202</v>
      </c>
      <c r="D17" s="187"/>
      <c r="E17" s="187"/>
      <c r="F17" s="188"/>
      <c r="G17" s="188"/>
      <c r="H17" s="188"/>
      <c r="I17" s="188"/>
      <c r="J17" s="188"/>
      <c r="K17" s="33"/>
      <c r="L17" s="33"/>
      <c r="N17" s="27"/>
    </row>
    <row r="18" spans="2:14" ht="21">
      <c r="B18" s="27"/>
      <c r="C18" s="348" t="s">
        <v>198</v>
      </c>
      <c r="D18" s="344">
        <v>3</v>
      </c>
      <c r="E18" s="343"/>
      <c r="F18" s="48"/>
      <c r="G18" s="48"/>
      <c r="H18" s="48"/>
      <c r="I18" s="48"/>
      <c r="J18" s="48"/>
      <c r="K18" s="33"/>
      <c r="L18" s="33"/>
      <c r="N18" s="27"/>
    </row>
    <row r="19" spans="2:14" ht="21">
      <c r="B19" s="27"/>
      <c r="C19" s="348" t="s">
        <v>199</v>
      </c>
      <c r="D19" s="344">
        <v>3</v>
      </c>
      <c r="E19" s="343"/>
      <c r="F19" s="48"/>
      <c r="G19" s="48"/>
      <c r="H19" s="48"/>
      <c r="I19" s="48"/>
      <c r="J19" s="48"/>
      <c r="K19" s="33"/>
      <c r="L19" s="33"/>
      <c r="N19" s="27"/>
    </row>
    <row r="20" spans="2:14" ht="8.25" customHeight="1">
      <c r="B20" s="27"/>
      <c r="D20" s="187"/>
      <c r="E20" s="187"/>
      <c r="F20" s="188"/>
      <c r="G20" s="188"/>
      <c r="H20" s="188"/>
      <c r="I20" s="188"/>
      <c r="J20" s="188"/>
      <c r="K20" s="106"/>
      <c r="L20" s="33"/>
      <c r="N20" s="27"/>
    </row>
    <row r="21" spans="2:14" ht="33.75" customHeight="1">
      <c r="B21" s="27"/>
      <c r="C21" s="390" t="s">
        <v>498</v>
      </c>
      <c r="D21" s="336">
        <v>12</v>
      </c>
      <c r="E21" s="187"/>
      <c r="F21" s="188"/>
      <c r="G21" s="188"/>
      <c r="H21" s="188"/>
      <c r="I21" s="188"/>
      <c r="J21" s="188"/>
      <c r="K21" s="106"/>
      <c r="L21" s="33"/>
      <c r="N21" s="27"/>
    </row>
    <row r="22" spans="2:14" ht="8.25" customHeight="1">
      <c r="B22" s="27"/>
      <c r="D22" s="187"/>
      <c r="E22" s="187"/>
      <c r="F22" s="188"/>
      <c r="G22" s="188"/>
      <c r="H22" s="188"/>
      <c r="I22" s="188"/>
      <c r="J22" s="188"/>
      <c r="K22" s="106"/>
      <c r="L22" s="33"/>
      <c r="N22" s="27"/>
    </row>
    <row r="23" spans="2:14" ht="21">
      <c r="B23" s="27"/>
      <c r="C23" s="346" t="s">
        <v>203</v>
      </c>
      <c r="D23" s="187"/>
      <c r="E23" s="187"/>
      <c r="F23" s="188"/>
      <c r="G23" s="188"/>
      <c r="H23" s="188"/>
      <c r="I23" s="188"/>
      <c r="J23" s="188"/>
      <c r="K23" s="33"/>
      <c r="L23" s="33"/>
      <c r="N23" s="27"/>
    </row>
    <row r="24" spans="2:14" ht="28.5" customHeight="1">
      <c r="B24" s="27"/>
      <c r="C24" s="433" t="s">
        <v>214</v>
      </c>
      <c r="D24" s="344">
        <v>0.5</v>
      </c>
      <c r="E24" s="343"/>
      <c r="F24" s="48"/>
      <c r="G24" s="48"/>
      <c r="H24" s="48"/>
      <c r="I24" s="48"/>
      <c r="J24" s="48"/>
      <c r="K24" s="33"/>
      <c r="L24" s="33"/>
      <c r="N24" s="27"/>
    </row>
    <row r="25" spans="2:14" ht="17.25" customHeight="1">
      <c r="B25" s="27"/>
      <c r="D25" s="187"/>
      <c r="E25" s="187"/>
      <c r="F25" s="188"/>
      <c r="G25" s="188"/>
      <c r="H25" s="188"/>
      <c r="I25" s="188"/>
      <c r="J25" s="188"/>
      <c r="K25" s="106"/>
      <c r="L25" s="33"/>
      <c r="N25" s="27"/>
    </row>
    <row r="26" spans="2:14" ht="25.5" customHeight="1">
      <c r="B26" s="27"/>
      <c r="C26" s="346" t="s">
        <v>204</v>
      </c>
      <c r="D26" s="336">
        <v>8</v>
      </c>
      <c r="E26" s="343"/>
      <c r="F26" s="48"/>
      <c r="G26" s="48"/>
      <c r="H26" s="48"/>
      <c r="I26" s="48"/>
      <c r="J26" s="48"/>
      <c r="K26" s="33"/>
      <c r="L26" s="33"/>
      <c r="N26" s="27"/>
    </row>
    <row r="27" spans="2:14" ht="10.5" customHeight="1">
      <c r="B27" s="27"/>
      <c r="C27" s="1"/>
      <c r="D27" s="343"/>
      <c r="E27" s="343"/>
      <c r="F27" s="48"/>
      <c r="G27" s="48"/>
      <c r="H27" s="48"/>
      <c r="I27" s="48"/>
      <c r="J27" s="48"/>
      <c r="K27" s="33"/>
      <c r="L27" s="33"/>
      <c r="N27" s="27"/>
    </row>
    <row r="28" spans="2:14" ht="53.25" hidden="1" customHeight="1">
      <c r="B28" s="27"/>
      <c r="C28" s="466" t="s">
        <v>466</v>
      </c>
      <c r="D28" s="466"/>
      <c r="E28" s="349"/>
      <c r="F28" s="48"/>
      <c r="G28" s="48"/>
      <c r="H28" s="48"/>
      <c r="I28" s="48"/>
      <c r="J28" s="48"/>
      <c r="K28" s="33"/>
      <c r="L28" s="33"/>
      <c r="N28" s="27"/>
    </row>
    <row r="29" spans="2:14" ht="42.75" hidden="1" thickBot="1">
      <c r="B29" s="27"/>
      <c r="C29" s="352" t="s">
        <v>467</v>
      </c>
      <c r="D29" s="351">
        <f>D26/(AVERAGE(D14:D15)+D24)</f>
        <v>2.2857142857142856</v>
      </c>
      <c r="E29" s="47"/>
      <c r="F29" s="108"/>
      <c r="G29" s="108"/>
      <c r="H29" s="108"/>
      <c r="I29" s="108"/>
      <c r="J29" s="108"/>
      <c r="K29" s="106"/>
      <c r="L29" s="33"/>
      <c r="N29" s="27"/>
    </row>
    <row r="30" spans="2:14" ht="8.25" customHeight="1">
      <c r="B30" s="27"/>
      <c r="C30" s="350"/>
      <c r="D30" s="187"/>
      <c r="E30" s="187"/>
      <c r="F30" s="188"/>
      <c r="G30" s="188"/>
      <c r="H30" s="188"/>
      <c r="I30" s="188"/>
      <c r="J30" s="188"/>
      <c r="K30" s="106"/>
      <c r="L30" s="33"/>
      <c r="N30" s="27"/>
    </row>
    <row r="31" spans="2:14" ht="68.25" customHeight="1">
      <c r="B31" s="27"/>
      <c r="C31" s="471" t="s">
        <v>523</v>
      </c>
      <c r="D31" s="471"/>
      <c r="E31" s="187"/>
      <c r="K31" s="106"/>
      <c r="L31" s="33"/>
      <c r="N31" s="27"/>
    </row>
    <row r="32" spans="2:14" ht="21">
      <c r="B32" s="27"/>
      <c r="C32" s="450"/>
      <c r="D32" s="459" t="s">
        <v>538</v>
      </c>
      <c r="E32" s="472" t="s">
        <v>537</v>
      </c>
      <c r="F32" s="472"/>
      <c r="G32" s="472"/>
      <c r="H32" s="472"/>
      <c r="I32" s="472"/>
      <c r="J32" s="472"/>
      <c r="K32" s="106"/>
      <c r="L32" s="33"/>
      <c r="N32" s="27"/>
    </row>
    <row r="33" spans="2:17" ht="21">
      <c r="B33" s="27"/>
      <c r="C33" s="448"/>
      <c r="D33" s="449" t="s">
        <v>495</v>
      </c>
      <c r="E33" s="187"/>
      <c r="F33" s="449" t="s">
        <v>31</v>
      </c>
      <c r="G33" s="449" t="s">
        <v>32</v>
      </c>
      <c r="H33" s="449" t="s">
        <v>33</v>
      </c>
      <c r="I33" s="449" t="s">
        <v>34</v>
      </c>
      <c r="J33" s="449" t="s">
        <v>35</v>
      </c>
      <c r="K33" s="106"/>
      <c r="L33" s="33"/>
      <c r="N33" s="27"/>
    </row>
    <row r="34" spans="2:17" ht="21">
      <c r="B34" s="27"/>
      <c r="C34" s="348" t="s">
        <v>198</v>
      </c>
      <c r="D34" s="336">
        <v>0</v>
      </c>
      <c r="E34" s="273"/>
      <c r="F34" s="336">
        <v>0</v>
      </c>
      <c r="G34" s="336">
        <v>0</v>
      </c>
      <c r="H34" s="336">
        <v>0</v>
      </c>
      <c r="I34" s="336">
        <v>0</v>
      </c>
      <c r="J34" s="336">
        <v>0</v>
      </c>
      <c r="L34" s="33"/>
      <c r="N34" s="27"/>
    </row>
    <row r="35" spans="2:17" ht="10.5" customHeight="1">
      <c r="B35" s="27"/>
      <c r="C35" s="182"/>
      <c r="D35" s="379"/>
      <c r="E35" s="273"/>
      <c r="F35" s="379"/>
      <c r="G35" s="379"/>
      <c r="H35" s="379"/>
      <c r="I35" s="379"/>
      <c r="J35" s="379"/>
      <c r="L35" s="33"/>
      <c r="N35" s="27"/>
    </row>
    <row r="36" spans="2:17" ht="21">
      <c r="B36" s="27"/>
      <c r="C36" s="348" t="s">
        <v>199</v>
      </c>
      <c r="D36" s="336">
        <v>20</v>
      </c>
      <c r="E36" s="273"/>
      <c r="F36" s="336">
        <v>24</v>
      </c>
      <c r="G36" s="336">
        <v>24</v>
      </c>
      <c r="H36" s="336">
        <v>24</v>
      </c>
      <c r="I36" s="336">
        <v>24</v>
      </c>
      <c r="J36" s="336">
        <v>12</v>
      </c>
      <c r="L36" s="33"/>
      <c r="N36" s="27"/>
    </row>
    <row r="37" spans="2:17" ht="21">
      <c r="B37" s="27"/>
      <c r="C37" s="182"/>
      <c r="D37" s="379"/>
      <c r="E37" s="273"/>
      <c r="F37" s="379"/>
      <c r="G37" s="379"/>
      <c r="H37" s="379"/>
      <c r="I37" s="379"/>
      <c r="J37" s="379"/>
      <c r="L37" s="33"/>
      <c r="N37" s="27"/>
    </row>
    <row r="38" spans="2:17" ht="10.5" customHeight="1">
      <c r="B38" s="27"/>
      <c r="C38" s="37"/>
      <c r="D38" s="183"/>
      <c r="E38" s="183"/>
      <c r="F38" s="184"/>
      <c r="G38" s="184"/>
      <c r="H38" s="184"/>
      <c r="I38" s="184"/>
      <c r="J38" s="184"/>
      <c r="K38" s="185"/>
      <c r="L38" s="37"/>
      <c r="M38" s="37"/>
      <c r="N38" s="27"/>
    </row>
    <row r="39" spans="2:17">
      <c r="K39"/>
      <c r="M39"/>
      <c r="N39"/>
    </row>
    <row r="40" spans="2:17" ht="23.25">
      <c r="B40" s="27"/>
      <c r="C40" s="190" t="s">
        <v>539</v>
      </c>
      <c r="D40" s="193"/>
      <c r="E40" s="193"/>
      <c r="F40" s="194"/>
      <c r="G40" s="194"/>
      <c r="H40" s="194"/>
      <c r="I40" s="194"/>
      <c r="J40" s="194"/>
      <c r="K40" s="195"/>
      <c r="L40" s="196"/>
      <c r="M40" s="37"/>
      <c r="N40" s="27"/>
    </row>
    <row r="41" spans="2:17" ht="21">
      <c r="B41" s="27"/>
      <c r="C41" s="442" t="s">
        <v>519</v>
      </c>
      <c r="D41" s="197"/>
      <c r="E41" s="197"/>
      <c r="F41" s="198"/>
      <c r="G41" s="198"/>
      <c r="H41" s="198"/>
      <c r="I41" s="198"/>
      <c r="J41" s="198"/>
      <c r="K41" s="199"/>
      <c r="L41" s="200"/>
      <c r="M41" s="33"/>
      <c r="N41" s="27"/>
    </row>
    <row r="42" spans="2:17" ht="9.75" customHeight="1">
      <c r="B42" s="27"/>
      <c r="C42" s="442"/>
      <c r="D42" s="197"/>
      <c r="E42" s="197"/>
      <c r="F42" s="198"/>
      <c r="G42" s="198"/>
      <c r="H42" s="198"/>
      <c r="I42" s="198"/>
      <c r="J42" s="198"/>
      <c r="K42" s="199"/>
      <c r="L42" s="200"/>
      <c r="M42" s="33"/>
      <c r="N42" s="27"/>
    </row>
    <row r="43" spans="2:17" ht="21">
      <c r="B43" s="27"/>
      <c r="C43" s="434" t="s">
        <v>306</v>
      </c>
      <c r="D43" s="344">
        <v>40</v>
      </c>
      <c r="E43" s="273"/>
      <c r="F43" s="188"/>
      <c r="G43" s="188"/>
      <c r="H43" s="188"/>
      <c r="I43" s="188"/>
      <c r="J43" s="188"/>
      <c r="K43" s="106"/>
      <c r="L43" s="33"/>
      <c r="N43" s="27"/>
    </row>
    <row r="44" spans="2:17">
      <c r="B44" s="27"/>
      <c r="C44" s="10"/>
      <c r="D44" s="273"/>
      <c r="E44" s="273"/>
      <c r="F44" s="188"/>
      <c r="G44" s="188"/>
      <c r="H44" s="188"/>
      <c r="I44" s="188"/>
      <c r="J44" s="188"/>
      <c r="K44" s="106"/>
      <c r="L44" s="33"/>
      <c r="N44" s="27"/>
    </row>
    <row r="45" spans="2:17" ht="25.5" customHeight="1">
      <c r="B45" s="27"/>
      <c r="C45" s="434" t="s">
        <v>550</v>
      </c>
      <c r="D45" s="345">
        <v>11</v>
      </c>
      <c r="E45" s="187"/>
      <c r="F45" s="188"/>
      <c r="G45" s="188"/>
      <c r="H45" s="188"/>
      <c r="I45" s="188"/>
      <c r="J45" s="188"/>
      <c r="K45" s="106"/>
      <c r="L45" s="33"/>
      <c r="N45" s="27"/>
    </row>
    <row r="46" spans="2:17" ht="21">
      <c r="B46" s="27"/>
      <c r="C46" s="434" t="s">
        <v>551</v>
      </c>
      <c r="D46" s="345">
        <v>11</v>
      </c>
      <c r="E46" s="187"/>
      <c r="F46" s="188"/>
      <c r="G46" s="188"/>
      <c r="H46" s="188"/>
      <c r="I46" s="188"/>
      <c r="J46" s="188"/>
      <c r="K46" s="106"/>
      <c r="L46" s="33"/>
      <c r="N46" s="27"/>
    </row>
    <row r="47" spans="2:17" hidden="1">
      <c r="B47" s="27"/>
      <c r="C47" s="10"/>
      <c r="M47" s="33"/>
      <c r="N47" s="37"/>
      <c r="O47" s="33"/>
      <c r="P47" s="33"/>
      <c r="Q47" s="33"/>
    </row>
    <row r="48" spans="2:17" s="48" customFormat="1" hidden="1">
      <c r="B48" s="27"/>
      <c r="D48" s="275"/>
      <c r="E48" s="275"/>
      <c r="F48" s="275"/>
      <c r="G48" s="275"/>
      <c r="H48" s="275"/>
      <c r="I48" s="275"/>
      <c r="J48" s="166"/>
      <c r="K48" s="47"/>
      <c r="M48" s="29"/>
      <c r="N48" s="27"/>
      <c r="O48" s="29"/>
      <c r="P48" s="29"/>
      <c r="Q48" s="29"/>
    </row>
    <row r="49" spans="1:14" hidden="1">
      <c r="B49" s="27"/>
      <c r="C49" s="435" t="s">
        <v>196</v>
      </c>
      <c r="D49" s="181">
        <v>3.5000000000000003E-2</v>
      </c>
      <c r="E49" s="181"/>
      <c r="G49" s="275"/>
      <c r="N49" s="27"/>
    </row>
    <row r="50" spans="1:14" hidden="1">
      <c r="B50" s="27"/>
      <c r="C50" s="10"/>
      <c r="N50" s="27"/>
    </row>
    <row r="51" spans="1:14">
      <c r="B51" s="27"/>
      <c r="C51" s="123"/>
      <c r="N51" s="27"/>
    </row>
    <row r="52" spans="1:14" hidden="1">
      <c r="B52" s="27"/>
      <c r="C52" s="436"/>
      <c r="D52" s="251"/>
      <c r="E52" s="251"/>
      <c r="N52" s="27"/>
    </row>
    <row r="53" spans="1:14" hidden="1">
      <c r="A53" t="s">
        <v>287</v>
      </c>
      <c r="B53" s="27"/>
      <c r="C53" s="436" t="s">
        <v>298</v>
      </c>
      <c r="D53" s="276">
        <f>D43*52</f>
        <v>2080</v>
      </c>
      <c r="E53" s="276"/>
      <c r="N53" s="27"/>
    </row>
    <row r="54" spans="1:14" hidden="1">
      <c r="A54" t="s">
        <v>287</v>
      </c>
      <c r="B54" s="27"/>
      <c r="C54" s="436" t="s">
        <v>51</v>
      </c>
      <c r="D54" s="251">
        <v>7.6499999999999999E-2</v>
      </c>
      <c r="E54" s="251"/>
      <c r="N54" s="27"/>
    </row>
    <row r="55" spans="1:14" hidden="1">
      <c r="A55" t="s">
        <v>287</v>
      </c>
      <c r="B55" s="27"/>
      <c r="C55" s="436" t="s">
        <v>218</v>
      </c>
      <c r="D55" s="250">
        <v>118500</v>
      </c>
      <c r="E55" s="250"/>
      <c r="N55" s="27"/>
    </row>
    <row r="56" spans="1:14" hidden="1">
      <c r="A56" t="s">
        <v>287</v>
      </c>
      <c r="B56" s="27"/>
      <c r="C56" s="436" t="s">
        <v>219</v>
      </c>
      <c r="D56" s="252">
        <v>8.0000000000000002E-3</v>
      </c>
      <c r="E56" s="252"/>
      <c r="N56" s="27"/>
    </row>
    <row r="57" spans="1:14" hidden="1">
      <c r="A57" t="s">
        <v>287</v>
      </c>
      <c r="B57" s="27"/>
      <c r="C57" s="436" t="s">
        <v>220</v>
      </c>
      <c r="D57" s="250">
        <v>7000</v>
      </c>
      <c r="E57" s="250"/>
      <c r="N57" s="27"/>
    </row>
    <row r="58" spans="1:14" hidden="1">
      <c r="A58" t="s">
        <v>287</v>
      </c>
      <c r="B58" s="27"/>
      <c r="C58" s="436" t="s">
        <v>215</v>
      </c>
      <c r="D58" s="277">
        <f>((D56*D57)/(D72*D53))</f>
        <v>2.4475524475524478E-3</v>
      </c>
      <c r="E58" s="277"/>
      <c r="N58" s="27"/>
    </row>
    <row r="59" spans="1:14" ht="38.25" customHeight="1">
      <c r="B59" s="27"/>
      <c r="C59" s="434" t="s">
        <v>552</v>
      </c>
      <c r="D59" s="451">
        <v>0</v>
      </c>
      <c r="E59" s="187"/>
      <c r="F59" s="188"/>
      <c r="G59" s="188"/>
      <c r="H59" s="188"/>
      <c r="I59" s="188"/>
      <c r="J59" s="188"/>
      <c r="K59" s="106"/>
      <c r="L59" s="33"/>
      <c r="N59" s="27"/>
    </row>
    <row r="60" spans="1:14" ht="39.75" customHeight="1">
      <c r="B60" s="27"/>
      <c r="C60" s="434" t="s">
        <v>307</v>
      </c>
      <c r="D60" s="331">
        <f>VLOOKUP(D6,'State Unemployment'!$A$5:$E$53,5,FALSE)</f>
        <v>3.1922916666666669E-2</v>
      </c>
      <c r="E60" s="375"/>
      <c r="N60" s="27"/>
    </row>
    <row r="61" spans="1:14" ht="39.75" hidden="1" customHeight="1">
      <c r="A61" t="s">
        <v>287</v>
      </c>
      <c r="B61" s="27"/>
      <c r="C61" s="437" t="s">
        <v>221</v>
      </c>
      <c r="D61" s="332">
        <f>VLOOKUP(D6,'State Unemployment'!$A$5:$E$53,2,FALSE)</f>
        <v>17510.625</v>
      </c>
      <c r="E61" s="376"/>
      <c r="N61" s="27"/>
    </row>
    <row r="62" spans="1:14" ht="39.75" hidden="1" customHeight="1">
      <c r="A62" t="s">
        <v>287</v>
      </c>
      <c r="B62" s="27"/>
      <c r="C62" s="437" t="s">
        <v>216</v>
      </c>
      <c r="D62" s="333">
        <f>IF((D72*D43*50)&gt;D61,(D60*D61),(D60*D72*D43*50))/(D72*D53)</f>
        <v>2.4431390850360578E-2</v>
      </c>
      <c r="E62" s="377"/>
      <c r="N62" s="27"/>
    </row>
    <row r="63" spans="1:14" ht="39.75" customHeight="1">
      <c r="B63" s="27"/>
      <c r="C63" s="434" t="s">
        <v>496</v>
      </c>
      <c r="D63" s="331">
        <v>0.04</v>
      </c>
      <c r="E63" s="375"/>
      <c r="N63" s="27"/>
    </row>
    <row r="64" spans="1:14" ht="39.75" customHeight="1">
      <c r="B64" s="27"/>
      <c r="C64" s="434" t="s">
        <v>497</v>
      </c>
      <c r="D64" s="331">
        <v>1.4999999999999999E-2</v>
      </c>
      <c r="E64" s="375"/>
      <c r="N64" s="27"/>
    </row>
    <row r="65" spans="1:14" ht="39.75" customHeight="1">
      <c r="B65" s="27"/>
      <c r="C65" s="434" t="s">
        <v>308</v>
      </c>
      <c r="D65" s="334">
        <v>2400</v>
      </c>
      <c r="E65" s="378"/>
      <c r="N65" s="27"/>
    </row>
    <row r="66" spans="1:14" ht="39.75" hidden="1" customHeight="1">
      <c r="A66" t="s">
        <v>287</v>
      </c>
      <c r="B66" s="27"/>
      <c r="C66" s="438" t="s">
        <v>289</v>
      </c>
      <c r="D66" s="335">
        <f>D65/(D72*D53)</f>
        <v>0.1048951048951049</v>
      </c>
      <c r="E66" s="341"/>
      <c r="N66" s="27"/>
    </row>
    <row r="67" spans="1:14" ht="39.75" customHeight="1">
      <c r="B67" s="27"/>
      <c r="C67" s="434" t="s">
        <v>309</v>
      </c>
      <c r="D67" s="336">
        <v>80</v>
      </c>
      <c r="E67" s="379"/>
      <c r="N67" s="27"/>
    </row>
    <row r="68" spans="1:14" ht="39.75" customHeight="1">
      <c r="B68" s="27"/>
      <c r="C68" s="434" t="s">
        <v>318</v>
      </c>
      <c r="D68" s="331">
        <v>7.0000000000000001E-3</v>
      </c>
      <c r="E68" s="375"/>
      <c r="N68" s="27"/>
    </row>
    <row r="69" spans="1:14" ht="39.75" customHeight="1">
      <c r="B69" s="27"/>
      <c r="C69" s="434" t="s">
        <v>310</v>
      </c>
      <c r="D69" s="331">
        <v>0.02</v>
      </c>
      <c r="E69" s="375"/>
      <c r="N69" s="27"/>
    </row>
    <row r="70" spans="1:14" ht="39.75" customHeight="1">
      <c r="B70" s="27"/>
      <c r="C70" s="434" t="s">
        <v>222</v>
      </c>
      <c r="D70" s="331">
        <v>0.03</v>
      </c>
      <c r="E70" s="375"/>
      <c r="N70" s="27"/>
    </row>
    <row r="71" spans="1:14" ht="9.75" hidden="1" customHeight="1">
      <c r="B71" s="27"/>
      <c r="C71" s="439"/>
      <c r="N71" s="27"/>
    </row>
    <row r="72" spans="1:14" hidden="1">
      <c r="B72" s="27"/>
      <c r="C72" s="388" t="s">
        <v>296</v>
      </c>
      <c r="D72" s="253">
        <f>D45*'Income Statement Projections'!BV22+'Data Entry'!D46*'Income Statement Projections'!BV23</f>
        <v>11</v>
      </c>
      <c r="E72" s="253"/>
      <c r="N72" s="27"/>
    </row>
    <row r="73" spans="1:14" ht="15.6" hidden="1" customHeight="1">
      <c r="B73" s="27"/>
      <c r="C73" s="388" t="s">
        <v>217</v>
      </c>
      <c r="D73" s="253">
        <f>D54*D72</f>
        <v>0.84150000000000003</v>
      </c>
      <c r="E73" s="253"/>
      <c r="N73" s="27"/>
    </row>
    <row r="74" spans="1:14" ht="15.6" hidden="1" customHeight="1">
      <c r="B74" s="27"/>
      <c r="C74" s="388" t="s">
        <v>290</v>
      </c>
      <c r="D74" s="253">
        <f>(D58+D62)*D72</f>
        <v>0.29566837627704329</v>
      </c>
      <c r="E74" s="253"/>
      <c r="N74" s="27"/>
    </row>
    <row r="75" spans="1:14" hidden="1">
      <c r="B75" s="27"/>
      <c r="C75" s="388" t="s">
        <v>52</v>
      </c>
      <c r="D75" s="253">
        <f>D63*D72</f>
        <v>0.44</v>
      </c>
      <c r="E75" s="253"/>
      <c r="N75" s="27"/>
    </row>
    <row r="76" spans="1:14" hidden="1">
      <c r="B76" s="27"/>
      <c r="C76" s="388" t="s">
        <v>291</v>
      </c>
      <c r="D76" s="281">
        <f>D66*D72</f>
        <v>1.1538461538461537</v>
      </c>
      <c r="E76" s="281"/>
      <c r="N76" s="27"/>
    </row>
    <row r="77" spans="1:14" hidden="1">
      <c r="B77" s="27"/>
      <c r="C77" s="388" t="s">
        <v>54</v>
      </c>
      <c r="D77" s="253">
        <f>D67/D53*D72</f>
        <v>0.42307692307692313</v>
      </c>
      <c r="E77" s="253"/>
      <c r="N77" s="27"/>
    </row>
    <row r="78" spans="1:14" hidden="1">
      <c r="B78" s="27"/>
      <c r="C78" s="388" t="s">
        <v>292</v>
      </c>
      <c r="D78" s="281">
        <f>D68*D72</f>
        <v>7.6999999999999999E-2</v>
      </c>
      <c r="E78" s="281"/>
      <c r="N78" s="27"/>
    </row>
    <row r="79" spans="1:14" hidden="1">
      <c r="B79" s="27"/>
      <c r="C79" s="388" t="s">
        <v>75</v>
      </c>
      <c r="D79" s="253">
        <f>D69*D72</f>
        <v>0.22</v>
      </c>
      <c r="E79" s="253"/>
      <c r="N79" s="27"/>
    </row>
    <row r="80" spans="1:14" hidden="1">
      <c r="B80" s="27"/>
      <c r="C80" s="388" t="s">
        <v>288</v>
      </c>
      <c r="D80" s="254">
        <f>SUM(D72:D79)</f>
        <v>14.451091453200119</v>
      </c>
      <c r="E80" s="342"/>
      <c r="F80" s="29"/>
      <c r="G80" s="29"/>
      <c r="H80" s="29"/>
      <c r="I80" s="29"/>
      <c r="J80" s="29"/>
      <c r="K80" s="29"/>
      <c r="L80" s="29"/>
      <c r="N80" s="27"/>
    </row>
    <row r="81" spans="1:14" s="29" customFormat="1" ht="3.75" customHeight="1">
      <c r="B81" s="27"/>
      <c r="C81" s="440"/>
    </row>
    <row r="82" spans="1:14" s="29" customFormat="1" ht="32.25" customHeight="1">
      <c r="B82" s="27"/>
      <c r="C82" s="434" t="s">
        <v>311</v>
      </c>
      <c r="D82" s="336">
        <v>12</v>
      </c>
      <c r="E82" s="273"/>
    </row>
    <row r="83" spans="1:14" s="29" customFormat="1" ht="32.25" customHeight="1">
      <c r="B83" s="27"/>
      <c r="C83" s="434"/>
      <c r="D83" s="379"/>
      <c r="E83" s="273"/>
    </row>
    <row r="84" spans="1:14" s="29" customFormat="1" ht="18.75">
      <c r="B84" s="27"/>
      <c r="C84" s="441" t="s">
        <v>518</v>
      </c>
      <c r="D84"/>
      <c r="E84"/>
      <c r="F84"/>
      <c r="G84"/>
      <c r="H84"/>
      <c r="I84"/>
      <c r="J84"/>
      <c r="K84" s="8"/>
      <c r="L84"/>
    </row>
    <row r="85" spans="1:14" ht="38.25" customHeight="1">
      <c r="B85" s="27"/>
      <c r="C85" s="434" t="s">
        <v>554</v>
      </c>
      <c r="D85" s="334">
        <v>85000</v>
      </c>
      <c r="E85" s="389"/>
      <c r="F85" s="274"/>
      <c r="G85" s="274"/>
      <c r="H85" s="274"/>
      <c r="I85" s="274"/>
      <c r="J85" s="274"/>
      <c r="K85" s="106"/>
      <c r="L85" s="33"/>
      <c r="N85" s="27"/>
    </row>
    <row r="86" spans="1:14" ht="38.25" customHeight="1">
      <c r="B86" s="27"/>
      <c r="C86" s="434" t="s">
        <v>30</v>
      </c>
      <c r="D86" s="334">
        <v>45000</v>
      </c>
      <c r="E86" s="389"/>
      <c r="F86" s="274"/>
      <c r="G86" s="274"/>
      <c r="H86" s="274"/>
      <c r="I86" s="274"/>
      <c r="J86" s="274"/>
      <c r="K86" s="106"/>
      <c r="L86" s="33"/>
      <c r="N86" s="27"/>
    </row>
    <row r="87" spans="1:14" ht="38.25" customHeight="1">
      <c r="B87" s="27"/>
      <c r="C87" s="434" t="s">
        <v>553</v>
      </c>
      <c r="D87" s="451">
        <v>15</v>
      </c>
      <c r="E87" s="187"/>
      <c r="F87" s="188"/>
      <c r="G87" s="188"/>
      <c r="H87" s="188"/>
      <c r="I87" s="188"/>
      <c r="J87" s="188"/>
      <c r="K87" s="106"/>
      <c r="L87" s="33"/>
      <c r="N87" s="27"/>
    </row>
    <row r="88" spans="1:14" ht="38.25" customHeight="1">
      <c r="B88" s="27"/>
      <c r="C88" s="434" t="s">
        <v>504</v>
      </c>
      <c r="D88" s="344">
        <v>25</v>
      </c>
      <c r="E88" s="343"/>
      <c r="N88" s="27"/>
    </row>
    <row r="89" spans="1:14" ht="38.25" customHeight="1">
      <c r="B89" s="27"/>
      <c r="C89" s="434" t="s">
        <v>555</v>
      </c>
      <c r="D89" s="344">
        <v>1</v>
      </c>
      <c r="E89" s="343"/>
      <c r="N89" s="27"/>
    </row>
    <row r="90" spans="1:14">
      <c r="B90" s="27"/>
      <c r="N90" s="27"/>
    </row>
    <row r="91" spans="1:14" ht="18.75">
      <c r="B91" s="27"/>
      <c r="C91" s="441" t="s">
        <v>297</v>
      </c>
      <c r="N91" s="27"/>
    </row>
    <row r="92" spans="1:14" ht="29.25" customHeight="1">
      <c r="B92" s="27"/>
      <c r="C92" s="434" t="s">
        <v>312</v>
      </c>
      <c r="D92" s="344">
        <v>5</v>
      </c>
      <c r="E92" s="343"/>
      <c r="N92" s="27"/>
    </row>
    <row r="93" spans="1:14" ht="24.75" customHeight="1">
      <c r="A93" s="279" t="b">
        <v>1</v>
      </c>
      <c r="B93" s="27"/>
      <c r="C93" s="434" t="s">
        <v>313</v>
      </c>
      <c r="D93" s="344"/>
      <c r="E93" s="343"/>
      <c r="N93" s="27"/>
    </row>
    <row r="94" spans="1:14" ht="18.75">
      <c r="B94" s="27"/>
      <c r="C94" s="434"/>
      <c r="N94" s="27"/>
    </row>
    <row r="95" spans="1:14" ht="31.5" customHeight="1">
      <c r="B95" s="27"/>
      <c r="C95" s="434" t="s">
        <v>556</v>
      </c>
      <c r="D95" s="344">
        <v>60</v>
      </c>
      <c r="E95" s="33"/>
      <c r="N95" s="27"/>
    </row>
    <row r="96" spans="1:14" ht="18.75">
      <c r="B96" s="27"/>
      <c r="C96" s="434"/>
      <c r="N96" s="27"/>
    </row>
    <row r="97" spans="1:14" ht="18.75">
      <c r="B97" s="27"/>
      <c r="C97" s="434"/>
      <c r="N97" s="27"/>
    </row>
    <row r="98" spans="1:14" ht="27.75" customHeight="1">
      <c r="A98" s="279">
        <v>200</v>
      </c>
      <c r="B98" s="27"/>
      <c r="C98" s="434" t="s">
        <v>524</v>
      </c>
      <c r="D98" s="336">
        <f>A98*1000</f>
        <v>200000</v>
      </c>
      <c r="F98" s="470"/>
      <c r="G98" s="470"/>
      <c r="N98" s="27"/>
    </row>
    <row r="99" spans="1:14" ht="28.5" customHeight="1">
      <c r="B99" s="27"/>
      <c r="C99" s="434" t="s">
        <v>369</v>
      </c>
      <c r="D99" s="463">
        <v>0.06</v>
      </c>
      <c r="E99" s="213"/>
      <c r="N99" s="27"/>
    </row>
    <row r="100" spans="1:14" ht="26.25" customHeight="1">
      <c r="B100" s="27"/>
      <c r="C100" s="434" t="s">
        <v>370</v>
      </c>
      <c r="D100" s="344">
        <v>5</v>
      </c>
      <c r="N100" s="27"/>
    </row>
    <row r="101" spans="1:14" ht="18.75">
      <c r="B101" s="27"/>
      <c r="C101" s="434"/>
      <c r="N101" s="27"/>
    </row>
    <row r="102" spans="1:14" ht="27" customHeight="1">
      <c r="B102" s="27"/>
      <c r="C102" s="434" t="s">
        <v>419</v>
      </c>
      <c r="D102" s="391">
        <v>500</v>
      </c>
      <c r="E102" s="311"/>
      <c r="N102" s="27"/>
    </row>
    <row r="103" spans="1:14" ht="23.25" customHeight="1">
      <c r="B103" s="27"/>
      <c r="C103" s="434" t="s">
        <v>422</v>
      </c>
      <c r="D103" s="391">
        <v>50</v>
      </c>
      <c r="E103" s="311"/>
      <c r="N103" s="27"/>
    </row>
    <row r="104" spans="1:14" ht="37.5">
      <c r="B104" s="27"/>
      <c r="C104" s="434" t="s">
        <v>517</v>
      </c>
      <c r="D104" s="336">
        <v>12</v>
      </c>
      <c r="N104" s="27"/>
    </row>
    <row r="105" spans="1:14">
      <c r="B105" s="27"/>
      <c r="N105" s="27"/>
    </row>
    <row r="106" spans="1:14">
      <c r="B106" s="27"/>
      <c r="C106" s="27"/>
      <c r="D106" s="27"/>
      <c r="E106" s="27"/>
      <c r="F106" s="27"/>
      <c r="G106" s="27"/>
      <c r="H106" s="27"/>
      <c r="I106" s="27"/>
      <c r="J106" s="27"/>
      <c r="K106" s="27"/>
      <c r="L106" s="27"/>
      <c r="M106" s="27"/>
      <c r="N106" s="27"/>
    </row>
  </sheetData>
  <mergeCells count="6">
    <mergeCell ref="B2:M2"/>
    <mergeCell ref="C28:D28"/>
    <mergeCell ref="D6:F6"/>
    <mergeCell ref="F98:G98"/>
    <mergeCell ref="C31:D31"/>
    <mergeCell ref="E32:J32"/>
  </mergeCells>
  <pageMargins left="0.7" right="0.7" top="0.75" bottom="0.75" header="0.3" footer="0.3"/>
  <pageSetup scale="61" fitToHeight="0" orientation="portrait" r:id="rId1"/>
  <drawing r:id="rId2"/>
  <legacyDrawing r:id="rId3"/>
  <controls>
    <mc:AlternateContent xmlns:mc="http://schemas.openxmlformats.org/markup-compatibility/2006">
      <mc:Choice Requires="x14">
        <control shapeId="1109" r:id="rId4" name="CommandButton24">
          <controlPr defaultSize="0" autoLine="0" autoPict="0" r:id="rId5">
            <anchor moveWithCells="1">
              <from>
                <xdr:col>5</xdr:col>
                <xdr:colOff>123825</xdr:colOff>
                <xdr:row>94</xdr:row>
                <xdr:rowOff>57150</xdr:rowOff>
              </from>
              <to>
                <xdr:col>6</xdr:col>
                <xdr:colOff>466725</xdr:colOff>
                <xdr:row>94</xdr:row>
                <xdr:rowOff>333375</xdr:rowOff>
              </to>
            </anchor>
          </controlPr>
        </control>
      </mc:Choice>
      <mc:Fallback>
        <control shapeId="1109" r:id="rId4" name="CommandButton24"/>
      </mc:Fallback>
    </mc:AlternateContent>
    <mc:AlternateContent xmlns:mc="http://schemas.openxmlformats.org/markup-compatibility/2006">
      <mc:Choice Requires="x14">
        <control shapeId="1108" r:id="rId6" name="CommandButton23">
          <controlPr defaultSize="0" autoLine="0" r:id="rId7">
            <anchor moveWithCells="1">
              <from>
                <xdr:col>5</xdr:col>
                <xdr:colOff>123825</xdr:colOff>
                <xdr:row>91</xdr:row>
                <xdr:rowOff>57150</xdr:rowOff>
              </from>
              <to>
                <xdr:col>6</xdr:col>
                <xdr:colOff>361950</xdr:colOff>
                <xdr:row>91</xdr:row>
                <xdr:rowOff>295275</xdr:rowOff>
              </to>
            </anchor>
          </controlPr>
        </control>
      </mc:Choice>
      <mc:Fallback>
        <control shapeId="1108" r:id="rId6" name="CommandButton23"/>
      </mc:Fallback>
    </mc:AlternateContent>
    <mc:AlternateContent xmlns:mc="http://schemas.openxmlformats.org/markup-compatibility/2006">
      <mc:Choice Requires="x14">
        <control shapeId="1107" r:id="rId8" name="CommandButton22">
          <controlPr defaultSize="0" autoLine="0" r:id="rId9">
            <anchor moveWithCells="1">
              <from>
                <xdr:col>5</xdr:col>
                <xdr:colOff>133350</xdr:colOff>
                <xdr:row>88</xdr:row>
                <xdr:rowOff>142875</xdr:rowOff>
              </from>
              <to>
                <xdr:col>6</xdr:col>
                <xdr:colOff>371475</xdr:colOff>
                <xdr:row>88</xdr:row>
                <xdr:rowOff>381000</xdr:rowOff>
              </to>
            </anchor>
          </controlPr>
        </control>
      </mc:Choice>
      <mc:Fallback>
        <control shapeId="1107" r:id="rId8" name="CommandButton22"/>
      </mc:Fallback>
    </mc:AlternateContent>
    <mc:AlternateContent xmlns:mc="http://schemas.openxmlformats.org/markup-compatibility/2006">
      <mc:Choice Requires="x14">
        <control shapeId="1106" r:id="rId10" name="CommandButton21">
          <controlPr defaultSize="0" autoLine="0" r:id="rId11">
            <anchor moveWithCells="1">
              <from>
                <xdr:col>5</xdr:col>
                <xdr:colOff>133350</xdr:colOff>
                <xdr:row>87</xdr:row>
                <xdr:rowOff>142875</xdr:rowOff>
              </from>
              <to>
                <xdr:col>6</xdr:col>
                <xdr:colOff>371475</xdr:colOff>
                <xdr:row>87</xdr:row>
                <xdr:rowOff>381000</xdr:rowOff>
              </to>
            </anchor>
          </controlPr>
        </control>
      </mc:Choice>
      <mc:Fallback>
        <control shapeId="1106" r:id="rId10" name="CommandButton21"/>
      </mc:Fallback>
    </mc:AlternateContent>
    <mc:AlternateContent xmlns:mc="http://schemas.openxmlformats.org/markup-compatibility/2006">
      <mc:Choice Requires="x14">
        <control shapeId="1105" r:id="rId12" name="CommandButton20">
          <controlPr defaultSize="0" autoLine="0" r:id="rId13">
            <anchor moveWithCells="1">
              <from>
                <xdr:col>5</xdr:col>
                <xdr:colOff>133350</xdr:colOff>
                <xdr:row>86</xdr:row>
                <xdr:rowOff>142875</xdr:rowOff>
              </from>
              <to>
                <xdr:col>6</xdr:col>
                <xdr:colOff>371475</xdr:colOff>
                <xdr:row>86</xdr:row>
                <xdr:rowOff>381000</xdr:rowOff>
              </to>
            </anchor>
          </controlPr>
        </control>
      </mc:Choice>
      <mc:Fallback>
        <control shapeId="1105" r:id="rId12" name="CommandButton20"/>
      </mc:Fallback>
    </mc:AlternateContent>
    <mc:AlternateContent xmlns:mc="http://schemas.openxmlformats.org/markup-compatibility/2006">
      <mc:Choice Requires="x14">
        <control shapeId="1104" r:id="rId14" name="CommandButton19">
          <controlPr defaultSize="0" autoLine="0" r:id="rId15">
            <anchor moveWithCells="1">
              <from>
                <xdr:col>5</xdr:col>
                <xdr:colOff>133350</xdr:colOff>
                <xdr:row>85</xdr:row>
                <xdr:rowOff>142875</xdr:rowOff>
              </from>
              <to>
                <xdr:col>6</xdr:col>
                <xdr:colOff>371475</xdr:colOff>
                <xdr:row>85</xdr:row>
                <xdr:rowOff>381000</xdr:rowOff>
              </to>
            </anchor>
          </controlPr>
        </control>
      </mc:Choice>
      <mc:Fallback>
        <control shapeId="1104" r:id="rId14" name="CommandButton19"/>
      </mc:Fallback>
    </mc:AlternateContent>
    <mc:AlternateContent xmlns:mc="http://schemas.openxmlformats.org/markup-compatibility/2006">
      <mc:Choice Requires="x14">
        <control shapeId="1103" r:id="rId16" name="CommandButton18">
          <controlPr defaultSize="0" autoLine="0" r:id="rId17">
            <anchor moveWithCells="1">
              <from>
                <xdr:col>5</xdr:col>
                <xdr:colOff>133350</xdr:colOff>
                <xdr:row>84</xdr:row>
                <xdr:rowOff>104775</xdr:rowOff>
              </from>
              <to>
                <xdr:col>6</xdr:col>
                <xdr:colOff>371475</xdr:colOff>
                <xdr:row>84</xdr:row>
                <xdr:rowOff>342900</xdr:rowOff>
              </to>
            </anchor>
          </controlPr>
        </control>
      </mc:Choice>
      <mc:Fallback>
        <control shapeId="1103" r:id="rId16" name="CommandButton18"/>
      </mc:Fallback>
    </mc:AlternateContent>
    <mc:AlternateContent xmlns:mc="http://schemas.openxmlformats.org/markup-compatibility/2006">
      <mc:Choice Requires="x14">
        <control shapeId="1100" r:id="rId18" name="CommandButton17">
          <controlPr defaultSize="0" autoLine="0" autoPict="0" r:id="rId19">
            <anchor moveWithCells="1">
              <from>
                <xdr:col>5</xdr:col>
                <xdr:colOff>123825</xdr:colOff>
                <xdr:row>44</xdr:row>
                <xdr:rowOff>76200</xdr:rowOff>
              </from>
              <to>
                <xdr:col>6</xdr:col>
                <xdr:colOff>466725</xdr:colOff>
                <xdr:row>45</xdr:row>
                <xdr:rowOff>123825</xdr:rowOff>
              </to>
            </anchor>
          </controlPr>
        </control>
      </mc:Choice>
      <mc:Fallback>
        <control shapeId="1100" r:id="rId18" name="CommandButton17"/>
      </mc:Fallback>
    </mc:AlternateContent>
    <mc:AlternateContent xmlns:mc="http://schemas.openxmlformats.org/markup-compatibility/2006">
      <mc:Choice Requires="x14">
        <control shapeId="1099" r:id="rId20" name="CommandButton16">
          <controlPr defaultSize="0" autoLine="0" r:id="rId21">
            <anchor moveWithCells="1">
              <from>
                <xdr:col>5</xdr:col>
                <xdr:colOff>123825</xdr:colOff>
                <xdr:row>42</xdr:row>
                <xdr:rowOff>0</xdr:rowOff>
              </from>
              <to>
                <xdr:col>6</xdr:col>
                <xdr:colOff>371475</xdr:colOff>
                <xdr:row>42</xdr:row>
                <xdr:rowOff>247650</xdr:rowOff>
              </to>
            </anchor>
          </controlPr>
        </control>
      </mc:Choice>
      <mc:Fallback>
        <control shapeId="1099" r:id="rId20" name="CommandButton16"/>
      </mc:Fallback>
    </mc:AlternateContent>
    <mc:AlternateContent xmlns:mc="http://schemas.openxmlformats.org/markup-compatibility/2006">
      <mc:Choice Requires="x14">
        <control shapeId="1098" r:id="rId22" name="CommandButton15">
          <controlPr defaultSize="0" autoLine="0" r:id="rId23">
            <anchor moveWithCells="1">
              <from>
                <xdr:col>5</xdr:col>
                <xdr:colOff>152400</xdr:colOff>
                <xdr:row>81</xdr:row>
                <xdr:rowOff>76200</xdr:rowOff>
              </from>
              <to>
                <xdr:col>6</xdr:col>
                <xdr:colOff>390525</xdr:colOff>
                <xdr:row>81</xdr:row>
                <xdr:rowOff>314325</xdr:rowOff>
              </to>
            </anchor>
          </controlPr>
        </control>
      </mc:Choice>
      <mc:Fallback>
        <control shapeId="1098" r:id="rId22" name="CommandButton15"/>
      </mc:Fallback>
    </mc:AlternateContent>
    <mc:AlternateContent xmlns:mc="http://schemas.openxmlformats.org/markup-compatibility/2006">
      <mc:Choice Requires="x14">
        <control shapeId="1097" r:id="rId24" name="CommandButton14">
          <controlPr defaultSize="0" autoLine="0" r:id="rId25">
            <anchor moveWithCells="1">
              <from>
                <xdr:col>5</xdr:col>
                <xdr:colOff>28575</xdr:colOff>
                <xdr:row>24</xdr:row>
                <xdr:rowOff>209550</xdr:rowOff>
              </from>
              <to>
                <xdr:col>6</xdr:col>
                <xdr:colOff>371475</xdr:colOff>
                <xdr:row>25</xdr:row>
                <xdr:rowOff>266700</xdr:rowOff>
              </to>
            </anchor>
          </controlPr>
        </control>
      </mc:Choice>
      <mc:Fallback>
        <control shapeId="1097" r:id="rId24" name="CommandButton14"/>
      </mc:Fallback>
    </mc:AlternateContent>
    <mc:AlternateContent xmlns:mc="http://schemas.openxmlformats.org/markup-compatibility/2006">
      <mc:Choice Requires="x14">
        <control shapeId="1096" r:id="rId26" name="CommandButton13">
          <controlPr defaultSize="0" autoLine="0" r:id="rId27">
            <anchor moveWithCells="1">
              <from>
                <xdr:col>5</xdr:col>
                <xdr:colOff>19050</xdr:colOff>
                <xdr:row>23</xdr:row>
                <xdr:rowOff>0</xdr:rowOff>
              </from>
              <to>
                <xdr:col>6</xdr:col>
                <xdr:colOff>361950</xdr:colOff>
                <xdr:row>23</xdr:row>
                <xdr:rowOff>276225</xdr:rowOff>
              </to>
            </anchor>
          </controlPr>
        </control>
      </mc:Choice>
      <mc:Fallback>
        <control shapeId="1096" r:id="rId26" name="CommandButton13"/>
      </mc:Fallback>
    </mc:AlternateContent>
    <mc:AlternateContent xmlns:mc="http://schemas.openxmlformats.org/markup-compatibility/2006">
      <mc:Choice Requires="x14">
        <control shapeId="1095" r:id="rId28" name="CommandButton12">
          <controlPr defaultSize="0" autoLine="0" autoPict="0" r:id="rId29">
            <anchor moveWithCells="1">
              <from>
                <xdr:col>5</xdr:col>
                <xdr:colOff>19050</xdr:colOff>
                <xdr:row>20</xdr:row>
                <xdr:rowOff>28575</xdr:rowOff>
              </from>
              <to>
                <xdr:col>6</xdr:col>
                <xdr:colOff>361950</xdr:colOff>
                <xdr:row>20</xdr:row>
                <xdr:rowOff>304800</xdr:rowOff>
              </to>
            </anchor>
          </controlPr>
        </control>
      </mc:Choice>
      <mc:Fallback>
        <control shapeId="1095" r:id="rId28" name="CommandButton12"/>
      </mc:Fallback>
    </mc:AlternateContent>
    <mc:AlternateContent xmlns:mc="http://schemas.openxmlformats.org/markup-compatibility/2006">
      <mc:Choice Requires="x14">
        <control shapeId="1094" r:id="rId30" name="CommandButton11">
          <controlPr defaultSize="0" autoLine="0" autoPict="0" r:id="rId31">
            <anchor moveWithCells="1">
              <from>
                <xdr:col>5</xdr:col>
                <xdr:colOff>19050</xdr:colOff>
                <xdr:row>17</xdr:row>
                <xdr:rowOff>47625</xdr:rowOff>
              </from>
              <to>
                <xdr:col>6</xdr:col>
                <xdr:colOff>361950</xdr:colOff>
                <xdr:row>18</xdr:row>
                <xdr:rowOff>57150</xdr:rowOff>
              </to>
            </anchor>
          </controlPr>
        </control>
      </mc:Choice>
      <mc:Fallback>
        <control shapeId="1094" r:id="rId30" name="CommandButton11"/>
      </mc:Fallback>
    </mc:AlternateContent>
    <mc:AlternateContent xmlns:mc="http://schemas.openxmlformats.org/markup-compatibility/2006">
      <mc:Choice Requires="x14">
        <control shapeId="1093" r:id="rId32" name="CommandButton10">
          <controlPr defaultSize="0" autoLine="0" autoPict="0" r:id="rId33">
            <anchor moveWithCells="1">
              <from>
                <xdr:col>5</xdr:col>
                <xdr:colOff>19050</xdr:colOff>
                <xdr:row>13</xdr:row>
                <xdr:rowOff>47625</xdr:rowOff>
              </from>
              <to>
                <xdr:col>6</xdr:col>
                <xdr:colOff>361950</xdr:colOff>
                <xdr:row>14</xdr:row>
                <xdr:rowOff>57150</xdr:rowOff>
              </to>
            </anchor>
          </controlPr>
        </control>
      </mc:Choice>
      <mc:Fallback>
        <control shapeId="1093" r:id="rId32" name="CommandButton10"/>
      </mc:Fallback>
    </mc:AlternateContent>
    <mc:AlternateContent xmlns:mc="http://schemas.openxmlformats.org/markup-compatibility/2006">
      <mc:Choice Requires="x14">
        <control shapeId="1092" r:id="rId34" name="CommandButton9">
          <controlPr defaultSize="0" autoLine="0" autoPict="0" r:id="rId35">
            <anchor moveWithCells="1">
              <from>
                <xdr:col>5</xdr:col>
                <xdr:colOff>19050</xdr:colOff>
                <xdr:row>9</xdr:row>
                <xdr:rowOff>47625</xdr:rowOff>
              </from>
              <to>
                <xdr:col>6</xdr:col>
                <xdr:colOff>361950</xdr:colOff>
                <xdr:row>10</xdr:row>
                <xdr:rowOff>57150</xdr:rowOff>
              </to>
            </anchor>
          </controlPr>
        </control>
      </mc:Choice>
      <mc:Fallback>
        <control shapeId="1092" r:id="rId34" name="CommandButton9"/>
      </mc:Fallback>
    </mc:AlternateContent>
    <mc:AlternateContent xmlns:mc="http://schemas.openxmlformats.org/markup-compatibility/2006">
      <mc:Choice Requires="x14">
        <control shapeId="1081" r:id="rId36" name="CommandButton8">
          <controlPr defaultSize="0" autoLine="0" r:id="rId37">
            <anchor moveWithCells="1">
              <from>
                <xdr:col>5</xdr:col>
                <xdr:colOff>152400</xdr:colOff>
                <xdr:row>69</xdr:row>
                <xdr:rowOff>104775</xdr:rowOff>
              </from>
              <to>
                <xdr:col>6</xdr:col>
                <xdr:colOff>390525</xdr:colOff>
                <xdr:row>69</xdr:row>
                <xdr:rowOff>342900</xdr:rowOff>
              </to>
            </anchor>
          </controlPr>
        </control>
      </mc:Choice>
      <mc:Fallback>
        <control shapeId="1081" r:id="rId36" name="CommandButton8"/>
      </mc:Fallback>
    </mc:AlternateContent>
    <mc:AlternateContent xmlns:mc="http://schemas.openxmlformats.org/markup-compatibility/2006">
      <mc:Choice Requires="x14">
        <control shapeId="1079" r:id="rId38" name="CommandButton7">
          <controlPr defaultSize="0" autoLine="0" r:id="rId39">
            <anchor moveWithCells="1">
              <from>
                <xdr:col>5</xdr:col>
                <xdr:colOff>152400</xdr:colOff>
                <xdr:row>68</xdr:row>
                <xdr:rowOff>104775</xdr:rowOff>
              </from>
              <to>
                <xdr:col>6</xdr:col>
                <xdr:colOff>390525</xdr:colOff>
                <xdr:row>68</xdr:row>
                <xdr:rowOff>342900</xdr:rowOff>
              </to>
            </anchor>
          </controlPr>
        </control>
      </mc:Choice>
      <mc:Fallback>
        <control shapeId="1079" r:id="rId38" name="CommandButton7"/>
      </mc:Fallback>
    </mc:AlternateContent>
    <mc:AlternateContent xmlns:mc="http://schemas.openxmlformats.org/markup-compatibility/2006">
      <mc:Choice Requires="x14">
        <control shapeId="1078" r:id="rId40" name="CommandButton6">
          <controlPr defaultSize="0" autoLine="0" r:id="rId41">
            <anchor moveWithCells="1">
              <from>
                <xdr:col>5</xdr:col>
                <xdr:colOff>152400</xdr:colOff>
                <xdr:row>67</xdr:row>
                <xdr:rowOff>104775</xdr:rowOff>
              </from>
              <to>
                <xdr:col>6</xdr:col>
                <xdr:colOff>390525</xdr:colOff>
                <xdr:row>67</xdr:row>
                <xdr:rowOff>342900</xdr:rowOff>
              </to>
            </anchor>
          </controlPr>
        </control>
      </mc:Choice>
      <mc:Fallback>
        <control shapeId="1078" r:id="rId40" name="CommandButton6"/>
      </mc:Fallback>
    </mc:AlternateContent>
    <mc:AlternateContent xmlns:mc="http://schemas.openxmlformats.org/markup-compatibility/2006">
      <mc:Choice Requires="x14">
        <control shapeId="1076" r:id="rId42" name="CommandButton5">
          <controlPr defaultSize="0" autoLine="0" r:id="rId43">
            <anchor moveWithCells="1">
              <from>
                <xdr:col>5</xdr:col>
                <xdr:colOff>152400</xdr:colOff>
                <xdr:row>66</xdr:row>
                <xdr:rowOff>104775</xdr:rowOff>
              </from>
              <to>
                <xdr:col>6</xdr:col>
                <xdr:colOff>390525</xdr:colOff>
                <xdr:row>66</xdr:row>
                <xdr:rowOff>342900</xdr:rowOff>
              </to>
            </anchor>
          </controlPr>
        </control>
      </mc:Choice>
      <mc:Fallback>
        <control shapeId="1076" r:id="rId42" name="CommandButton5"/>
      </mc:Fallback>
    </mc:AlternateContent>
    <mc:AlternateContent xmlns:mc="http://schemas.openxmlformats.org/markup-compatibility/2006">
      <mc:Choice Requires="x14">
        <control shapeId="1075" r:id="rId44" name="CommandButton4">
          <controlPr defaultSize="0" autoLine="0" r:id="rId45">
            <anchor moveWithCells="1">
              <from>
                <xdr:col>5</xdr:col>
                <xdr:colOff>152400</xdr:colOff>
                <xdr:row>64</xdr:row>
                <xdr:rowOff>104775</xdr:rowOff>
              </from>
              <to>
                <xdr:col>6</xdr:col>
                <xdr:colOff>390525</xdr:colOff>
                <xdr:row>64</xdr:row>
                <xdr:rowOff>342900</xdr:rowOff>
              </to>
            </anchor>
          </controlPr>
        </control>
      </mc:Choice>
      <mc:Fallback>
        <control shapeId="1075" r:id="rId44" name="CommandButton4"/>
      </mc:Fallback>
    </mc:AlternateContent>
    <mc:AlternateContent xmlns:mc="http://schemas.openxmlformats.org/markup-compatibility/2006">
      <mc:Choice Requires="x14">
        <control shapeId="1074" r:id="rId46" name="CommandButton3">
          <controlPr defaultSize="0" autoLine="0" r:id="rId47">
            <anchor moveWithCells="1">
              <from>
                <xdr:col>5</xdr:col>
                <xdr:colOff>133350</xdr:colOff>
                <xdr:row>63</xdr:row>
                <xdr:rowOff>104775</xdr:rowOff>
              </from>
              <to>
                <xdr:col>6</xdr:col>
                <xdr:colOff>371475</xdr:colOff>
                <xdr:row>63</xdr:row>
                <xdr:rowOff>342900</xdr:rowOff>
              </to>
            </anchor>
          </controlPr>
        </control>
      </mc:Choice>
      <mc:Fallback>
        <control shapeId="1074" r:id="rId46" name="CommandButton3"/>
      </mc:Fallback>
    </mc:AlternateContent>
    <mc:AlternateContent xmlns:mc="http://schemas.openxmlformats.org/markup-compatibility/2006">
      <mc:Choice Requires="x14">
        <control shapeId="1072" r:id="rId48" name="CommandButton2">
          <controlPr defaultSize="0" autoLine="0" r:id="rId49">
            <anchor moveWithCells="1">
              <from>
                <xdr:col>5</xdr:col>
                <xdr:colOff>123825</xdr:colOff>
                <xdr:row>62</xdr:row>
                <xdr:rowOff>104775</xdr:rowOff>
              </from>
              <to>
                <xdr:col>6</xdr:col>
                <xdr:colOff>361950</xdr:colOff>
                <xdr:row>62</xdr:row>
                <xdr:rowOff>342900</xdr:rowOff>
              </to>
            </anchor>
          </controlPr>
        </control>
      </mc:Choice>
      <mc:Fallback>
        <control shapeId="1072" r:id="rId48" name="CommandButton2"/>
      </mc:Fallback>
    </mc:AlternateContent>
    <mc:AlternateContent xmlns:mc="http://schemas.openxmlformats.org/markup-compatibility/2006">
      <mc:Choice Requires="x14">
        <control shapeId="1068" r:id="rId50" name="CommandButton1">
          <controlPr defaultSize="0" autoLine="0" r:id="rId51">
            <anchor moveWithCells="1">
              <from>
                <xdr:col>5</xdr:col>
                <xdr:colOff>123825</xdr:colOff>
                <xdr:row>59</xdr:row>
                <xdr:rowOff>123825</xdr:rowOff>
              </from>
              <to>
                <xdr:col>6</xdr:col>
                <xdr:colOff>371475</xdr:colOff>
                <xdr:row>59</xdr:row>
                <xdr:rowOff>371475</xdr:rowOff>
              </to>
            </anchor>
          </controlPr>
        </control>
      </mc:Choice>
      <mc:Fallback>
        <control shapeId="1068" r:id="rId50" name="CommandButton1"/>
      </mc:Fallback>
    </mc:AlternateContent>
    <mc:AlternateContent xmlns:mc="http://schemas.openxmlformats.org/markup-compatibility/2006">
      <mc:Choice Requires="x14">
        <control shapeId="1061" r:id="rId52" name="Check Box 37">
          <controlPr defaultSize="0" autoFill="0" autoLine="0" autoPict="0">
            <anchor moveWithCells="1">
              <from>
                <xdr:col>3</xdr:col>
                <xdr:colOff>676275</xdr:colOff>
                <xdr:row>92</xdr:row>
                <xdr:rowOff>19050</xdr:rowOff>
              </from>
              <to>
                <xdr:col>3</xdr:col>
                <xdr:colOff>1000125</xdr:colOff>
                <xdr:row>92</xdr:row>
                <xdr:rowOff>304800</xdr:rowOff>
              </to>
            </anchor>
          </controlPr>
        </control>
      </mc:Choice>
    </mc:AlternateContent>
    <mc:AlternateContent xmlns:mc="http://schemas.openxmlformats.org/markup-compatibility/2006">
      <mc:Choice Requires="x14">
        <control shapeId="1101" r:id="rId53" name="Spinner 77">
          <controlPr defaultSize="0" autoPict="0">
            <anchor moveWithCells="1" sizeWithCells="1">
              <from>
                <xdr:col>4</xdr:col>
                <xdr:colOff>123825</xdr:colOff>
                <xdr:row>97</xdr:row>
                <xdr:rowOff>28575</xdr:rowOff>
              </from>
              <to>
                <xdr:col>5</xdr:col>
                <xdr:colOff>419100</xdr:colOff>
                <xdr:row>97</xdr:row>
                <xdr:rowOff>333375</xdr:rowOff>
              </to>
            </anchor>
          </controlPr>
        </control>
      </mc:Choice>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'State Unemployment'!$A$5:$A$53</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theme="7"/>
  </sheetPr>
  <dimension ref="B1:Q103"/>
  <sheetViews>
    <sheetView showGridLines="0" topLeftCell="A30" workbookViewId="0">
      <selection activeCell="C61" sqref="C61"/>
    </sheetView>
  </sheetViews>
  <sheetFormatPr defaultRowHeight="15"/>
  <cols>
    <col min="2" max="2" width="37" customWidth="1"/>
    <col min="3" max="3" width="16.28515625" customWidth="1"/>
    <col min="4" max="8" width="13.5703125" customWidth="1"/>
    <col min="9" max="9" width="10.85546875" customWidth="1"/>
    <col min="10" max="10" width="11.7109375" bestFit="1" customWidth="1"/>
    <col min="12" max="16" width="8.140625" bestFit="1" customWidth="1"/>
  </cols>
  <sheetData>
    <row r="1" spans="2:17" ht="23.25">
      <c r="B1" s="456" t="s">
        <v>536</v>
      </c>
      <c r="K1" s="8"/>
      <c r="M1" s="29"/>
      <c r="N1" s="29"/>
      <c r="O1" s="29"/>
      <c r="P1" s="29"/>
      <c r="Q1" s="29"/>
    </row>
    <row r="2" spans="2:17" ht="15.75" thickBot="1"/>
    <row r="3" spans="2:17" ht="23.25">
      <c r="B3" s="413" t="s">
        <v>471</v>
      </c>
      <c r="C3" s="422"/>
      <c r="D3" s="422"/>
      <c r="E3" s="422"/>
      <c r="F3" s="422"/>
      <c r="G3" s="414"/>
    </row>
    <row r="4" spans="2:17" ht="30" customHeight="1">
      <c r="B4" s="424" t="str">
        <f>'Data Entry'!C72</f>
        <v>Base Average Hourly Wage</v>
      </c>
      <c r="C4" s="431">
        <f>'Data Entry'!D72</f>
        <v>11</v>
      </c>
      <c r="D4" s="477" t="s">
        <v>472</v>
      </c>
      <c r="E4" s="477"/>
      <c r="F4" s="477"/>
      <c r="G4" s="478"/>
    </row>
    <row r="5" spans="2:17" ht="30" customHeight="1">
      <c r="B5" s="423" t="str">
        <f>'Data Entry'!C73</f>
        <v>FICA</v>
      </c>
      <c r="C5" s="369">
        <f>'Data Entry'!D73</f>
        <v>0.84150000000000003</v>
      </c>
      <c r="D5" s="479" t="s">
        <v>473</v>
      </c>
      <c r="E5" s="479"/>
      <c r="F5" s="479"/>
      <c r="G5" s="480"/>
    </row>
    <row r="6" spans="2:17" ht="30" customHeight="1">
      <c r="B6" s="423" t="str">
        <f>'Data Entry'!C74</f>
        <v>Unemployment</v>
      </c>
      <c r="C6" s="369">
        <f>'Data Entry'!D74</f>
        <v>0.29566837627704329</v>
      </c>
      <c r="D6" s="479" t="s">
        <v>474</v>
      </c>
      <c r="E6" s="479"/>
      <c r="F6" s="479"/>
      <c r="G6" s="480"/>
    </row>
    <row r="7" spans="2:17" ht="30" customHeight="1">
      <c r="B7" s="423" t="str">
        <f>'Data Entry'!C75</f>
        <v>Workers Compensation</v>
      </c>
      <c r="C7" s="369">
        <f>'Data Entry'!D75</f>
        <v>0.44</v>
      </c>
      <c r="D7" s="479" t="s">
        <v>475</v>
      </c>
      <c r="E7" s="479"/>
      <c r="F7" s="479"/>
      <c r="G7" s="480"/>
    </row>
    <row r="8" spans="2:17" ht="30" customHeight="1">
      <c r="B8" s="423" t="str">
        <f>'Data Entry'!C76</f>
        <v>Health Insurance</v>
      </c>
      <c r="C8" s="369">
        <f>'Data Entry'!D76</f>
        <v>1.1538461538461537</v>
      </c>
      <c r="D8" s="479" t="s">
        <v>480</v>
      </c>
      <c r="E8" s="479"/>
      <c r="F8" s="479"/>
      <c r="G8" s="480"/>
    </row>
    <row r="9" spans="2:17" ht="30" customHeight="1">
      <c r="B9" s="423" t="str">
        <f>'Data Entry'!C77</f>
        <v>Paid Time Off</v>
      </c>
      <c r="C9" s="369">
        <f>'Data Entry'!D77</f>
        <v>0.42307692307692313</v>
      </c>
      <c r="D9" s="479" t="s">
        <v>476</v>
      </c>
      <c r="E9" s="479"/>
      <c r="F9" s="479"/>
      <c r="G9" s="480"/>
    </row>
    <row r="10" spans="2:17" ht="30" customHeight="1">
      <c r="B10" s="423" t="str">
        <f>'Data Entry'!C78</f>
        <v>Disability Insurance</v>
      </c>
      <c r="C10" s="369">
        <f>'Data Entry'!D78</f>
        <v>7.6999999999999999E-2</v>
      </c>
      <c r="D10" s="479" t="s">
        <v>481</v>
      </c>
      <c r="E10" s="479"/>
      <c r="F10" s="479"/>
      <c r="G10" s="480"/>
    </row>
    <row r="11" spans="2:17" ht="30" customHeight="1">
      <c r="B11" s="423" t="str">
        <f>'Data Entry'!C79</f>
        <v>Retirement</v>
      </c>
      <c r="C11" s="369">
        <f>'Data Entry'!D79</f>
        <v>0.22</v>
      </c>
      <c r="D11" s="479" t="s">
        <v>477</v>
      </c>
      <c r="E11" s="479"/>
      <c r="F11" s="479"/>
      <c r="G11" s="480"/>
    </row>
    <row r="12" spans="2:17" ht="30.75" customHeight="1">
      <c r="B12" s="423" t="s">
        <v>196</v>
      </c>
      <c r="C12" s="369">
        <f>C4*'Data Entry'!$D$49</f>
        <v>0.38500000000000001</v>
      </c>
      <c r="D12" s="479" t="s">
        <v>499</v>
      </c>
      <c r="E12" s="479"/>
      <c r="F12" s="479"/>
      <c r="G12" s="480"/>
    </row>
    <row r="13" spans="2:17" ht="31.5" customHeight="1">
      <c r="B13" s="428" t="str">
        <f>'Data Entry'!C80</f>
        <v>Fully Loaded Hourly Wage</v>
      </c>
      <c r="C13" s="429">
        <f>'Data Entry'!D80+C12</f>
        <v>14.836091453200119</v>
      </c>
      <c r="D13" s="481" t="s">
        <v>478</v>
      </c>
      <c r="E13" s="481"/>
      <c r="F13" s="481"/>
      <c r="G13" s="482"/>
    </row>
    <row r="14" spans="2:17" ht="6.75" customHeight="1">
      <c r="B14" s="425"/>
      <c r="C14" s="430"/>
      <c r="D14" s="473"/>
      <c r="E14" s="473"/>
      <c r="F14" s="473"/>
      <c r="G14" s="474"/>
    </row>
    <row r="15" spans="2:17" ht="27" customHeight="1">
      <c r="B15" s="426" t="s">
        <v>488</v>
      </c>
      <c r="C15" s="431">
        <f>SUM(D56:H56)/SUM(F50:J50)</f>
        <v>21.340561853129621</v>
      </c>
      <c r="D15" s="479" t="s">
        <v>479</v>
      </c>
      <c r="E15" s="479"/>
      <c r="F15" s="479"/>
      <c r="G15" s="480"/>
    </row>
    <row r="16" spans="2:17" ht="6" customHeight="1">
      <c r="B16" s="425"/>
      <c r="C16" s="430"/>
      <c r="D16" s="473"/>
      <c r="E16" s="473"/>
      <c r="F16" s="473"/>
      <c r="G16" s="474"/>
    </row>
    <row r="17" spans="2:8" ht="51.75" customHeight="1" thickBot="1">
      <c r="B17" s="427" t="s">
        <v>489</v>
      </c>
      <c r="C17" s="432">
        <f>C15-C13</f>
        <v>6.5044703999295024</v>
      </c>
      <c r="D17" s="475" t="s">
        <v>482</v>
      </c>
      <c r="E17" s="475"/>
      <c r="F17" s="475"/>
      <c r="G17" s="476"/>
    </row>
    <row r="18" spans="2:8" ht="15.75" thickBot="1"/>
    <row r="19" spans="2:8" ht="23.25">
      <c r="B19" s="413" t="s">
        <v>541</v>
      </c>
      <c r="C19" s="414"/>
    </row>
    <row r="20" spans="2:8" ht="45" customHeight="1">
      <c r="B20" s="415" t="s">
        <v>535</v>
      </c>
      <c r="C20" s="416">
        <f>SUM(D64:H64)/SUM(D56:H56)</f>
        <v>0.30410634590469066</v>
      </c>
    </row>
    <row r="21" spans="2:8" ht="45.4" customHeight="1">
      <c r="B21" s="417" t="s">
        <v>544</v>
      </c>
      <c r="C21" s="418">
        <f>D71+D68+D67</f>
        <v>198708.08054047331</v>
      </c>
    </row>
    <row r="22" spans="2:8" ht="38.25">
      <c r="B22" s="415" t="s">
        <v>510</v>
      </c>
      <c r="C22" s="419">
        <f>C21/C20</f>
        <v>653416.42230231524</v>
      </c>
    </row>
    <row r="23" spans="2:8" ht="6.75" customHeight="1">
      <c r="B23" s="417"/>
      <c r="C23" s="418"/>
    </row>
    <row r="24" spans="2:8" ht="30.75" customHeight="1">
      <c r="B24" s="417" t="s">
        <v>509</v>
      </c>
      <c r="C24" s="418">
        <f>C15*(AVERAGE('Data Entry'!D14:D15)*AVERAGE('Data Entry'!D18:D19)*ALOS*4.33)</f>
        <v>9979.7003449975364</v>
      </c>
    </row>
    <row r="25" spans="2:8" ht="33" customHeight="1" thickBot="1">
      <c r="B25" s="420" t="s">
        <v>511</v>
      </c>
      <c r="C25" s="421">
        <f>C22/C24</f>
        <v>65.474553314604208</v>
      </c>
    </row>
    <row r="28" spans="2:8" ht="23.25">
      <c r="B28" s="460" t="s">
        <v>542</v>
      </c>
    </row>
    <row r="29" spans="2:8" ht="33.75" customHeight="1">
      <c r="B29" s="350" t="s">
        <v>522</v>
      </c>
      <c r="C29" s="447">
        <f>'Data Entry'!D98</f>
        <v>200000</v>
      </c>
    </row>
    <row r="32" spans="2:8">
      <c r="C32" s="443" t="s">
        <v>495</v>
      </c>
      <c r="D32" s="443" t="s">
        <v>31</v>
      </c>
      <c r="E32" s="443" t="s">
        <v>32</v>
      </c>
      <c r="F32" s="443" t="s">
        <v>33</v>
      </c>
      <c r="G32" s="443" t="s">
        <v>34</v>
      </c>
      <c r="H32" s="443" t="s">
        <v>35</v>
      </c>
    </row>
    <row r="33" spans="2:16" ht="39.75" customHeight="1">
      <c r="B33" s="445" t="s">
        <v>521</v>
      </c>
      <c r="C33" s="446">
        <f>'Bal Sheet &amp; Cash Flow'!BK5</f>
        <v>195765.96360390575</v>
      </c>
      <c r="D33" s="446">
        <f>D100</f>
        <v>1052.4679796633409</v>
      </c>
      <c r="E33" s="446">
        <f>E100</f>
        <v>-75432.436101656887</v>
      </c>
      <c r="F33" s="446">
        <f>F100</f>
        <v>-109742.5198404145</v>
      </c>
      <c r="G33" s="446">
        <f>G100</f>
        <v>-102579.39944989615</v>
      </c>
      <c r="H33" s="446">
        <f>H100</f>
        <v>-41945.891406414783</v>
      </c>
      <c r="I33" s="258"/>
    </row>
    <row r="34" spans="2:16" ht="30" customHeight="1">
      <c r="B34" s="445" t="s">
        <v>520</v>
      </c>
      <c r="C34" s="444">
        <f>'Bal Sheet &amp; Cash Flow'!BK88</f>
        <v>94.74823764486996</v>
      </c>
      <c r="D34" s="444">
        <f>'Bal Sheet &amp; Cash Flow'!BL88</f>
        <v>0.71834074356264976</v>
      </c>
      <c r="E34" s="444">
        <f>'Bal Sheet &amp; Cash Flow'!BM88</f>
        <v>-35.668331471257133</v>
      </c>
      <c r="F34" s="444">
        <f>'Bal Sheet &amp; Cash Flow'!BN88</f>
        <v>-39.696753551787772</v>
      </c>
      <c r="G34" s="444">
        <f>'Bal Sheet &amp; Cash Flow'!BO88</f>
        <v>-30.044814088340235</v>
      </c>
      <c r="H34" s="444">
        <f>'Bal Sheet &amp; Cash Flow'!BP88</f>
        <v>-11.218301284510781</v>
      </c>
      <c r="I34" s="258"/>
    </row>
    <row r="35" spans="2:16">
      <c r="E35" s="258"/>
      <c r="F35" s="258"/>
      <c r="G35" s="258"/>
      <c r="H35" s="258"/>
      <c r="I35" s="258"/>
    </row>
    <row r="36" spans="2:16">
      <c r="C36" s="459" t="s">
        <v>538</v>
      </c>
      <c r="D36" s="472" t="s">
        <v>537</v>
      </c>
      <c r="E36" s="472"/>
      <c r="F36" s="472"/>
      <c r="G36" s="472"/>
      <c r="H36" s="472"/>
    </row>
    <row r="37" spans="2:16" ht="21">
      <c r="B37" s="412" t="s">
        <v>205</v>
      </c>
      <c r="C37" s="443" t="s">
        <v>495</v>
      </c>
      <c r="D37" s="443" t="s">
        <v>31</v>
      </c>
      <c r="E37" s="443" t="s">
        <v>32</v>
      </c>
      <c r="F37" s="443" t="s">
        <v>33</v>
      </c>
      <c r="G37" s="443" t="s">
        <v>34</v>
      </c>
      <c r="H37" s="443" t="s">
        <v>35</v>
      </c>
    </row>
    <row r="38" spans="2:16" ht="40.5" customHeight="1">
      <c r="B38" s="350" t="s">
        <v>512</v>
      </c>
      <c r="C38" s="411">
        <f>'Data Entry'!D34</f>
        <v>0</v>
      </c>
      <c r="D38" s="458">
        <f>'Data Entry'!F34</f>
        <v>0</v>
      </c>
      <c r="E38" s="458">
        <f>'Data Entry'!G34</f>
        <v>0</v>
      </c>
      <c r="F38" s="458">
        <f>'Data Entry'!H34</f>
        <v>0</v>
      </c>
      <c r="G38" s="458">
        <f>'Data Entry'!I34</f>
        <v>0</v>
      </c>
      <c r="H38" s="458">
        <f>'Data Entry'!J34</f>
        <v>0</v>
      </c>
    </row>
    <row r="39" spans="2:16" ht="15.75">
      <c r="D39" s="385"/>
    </row>
    <row r="40" spans="2:16" ht="40.5" customHeight="1">
      <c r="B40" s="350" t="s">
        <v>513</v>
      </c>
      <c r="C40" s="411">
        <f>'Data Entry'!D36</f>
        <v>20</v>
      </c>
      <c r="D40" s="458">
        <f>'Data Entry'!F36</f>
        <v>24</v>
      </c>
      <c r="E40" s="458">
        <f>'Data Entry'!G36</f>
        <v>24</v>
      </c>
      <c r="F40" s="458">
        <f>'Data Entry'!H36</f>
        <v>24</v>
      </c>
      <c r="G40" s="458">
        <f>'Data Entry'!I36</f>
        <v>24</v>
      </c>
      <c r="H40" s="458">
        <f>'Data Entry'!J36</f>
        <v>12</v>
      </c>
    </row>
    <row r="41" spans="2:16" ht="15.75">
      <c r="D41" s="385"/>
    </row>
    <row r="42" spans="2:16" ht="21">
      <c r="B42" s="412" t="s">
        <v>514</v>
      </c>
      <c r="C42" s="411">
        <f>C38+C40</f>
        <v>20</v>
      </c>
      <c r="D42" s="458">
        <f>C42+D38+D40</f>
        <v>44</v>
      </c>
      <c r="E42" s="458">
        <f t="shared" ref="E42:H42" si="0">D42+E38+E40</f>
        <v>68</v>
      </c>
      <c r="F42" s="458">
        <f t="shared" si="0"/>
        <v>92</v>
      </c>
      <c r="G42" s="458">
        <f t="shared" si="0"/>
        <v>116</v>
      </c>
      <c r="H42" s="458">
        <f t="shared" si="0"/>
        <v>128</v>
      </c>
    </row>
    <row r="43" spans="2:16" ht="15.75">
      <c r="D43" s="385"/>
    </row>
    <row r="44" spans="2:16" hidden="1">
      <c r="E44" s="371" t="s">
        <v>495</v>
      </c>
      <c r="F44" s="371" t="s">
        <v>31</v>
      </c>
      <c r="G44" s="371" t="s">
        <v>32</v>
      </c>
      <c r="H44" s="371" t="s">
        <v>33</v>
      </c>
      <c r="I44" s="371" t="s">
        <v>34</v>
      </c>
      <c r="J44" s="371" t="s">
        <v>35</v>
      </c>
      <c r="L44" s="371" t="s">
        <v>31</v>
      </c>
      <c r="M44" s="371" t="s">
        <v>32</v>
      </c>
      <c r="N44" s="371" t="s">
        <v>33</v>
      </c>
      <c r="O44" s="371" t="s">
        <v>34</v>
      </c>
      <c r="P44" s="371" t="s">
        <v>35</v>
      </c>
    </row>
    <row r="45" spans="2:16" hidden="1"/>
    <row r="46" spans="2:16" hidden="1">
      <c r="D46" t="s">
        <v>490</v>
      </c>
      <c r="E46" s="259">
        <f>'Income Statement Projections'!B7</f>
        <v>0</v>
      </c>
      <c r="F46" s="259">
        <f>'Income Statement Projections'!BK9</f>
        <v>0</v>
      </c>
      <c r="G46" s="259">
        <f>'Income Statement Projections'!BL9</f>
        <v>0</v>
      </c>
      <c r="H46" s="259">
        <f>'Income Statement Projections'!BM9</f>
        <v>0</v>
      </c>
      <c r="I46" s="259">
        <f>'Income Statement Projections'!BN9</f>
        <v>0</v>
      </c>
      <c r="J46" s="259">
        <f>'Income Statement Projections'!BO9</f>
        <v>0</v>
      </c>
    </row>
    <row r="47" spans="2:16" hidden="1">
      <c r="D47" t="s">
        <v>491</v>
      </c>
      <c r="E47" s="259">
        <f>'Income Statement Projections'!B11</f>
        <v>20</v>
      </c>
      <c r="F47" s="259">
        <f>'Income Statement Projections'!BK13</f>
        <v>44</v>
      </c>
      <c r="G47" s="259">
        <f>'Income Statement Projections'!BL13</f>
        <v>68</v>
      </c>
      <c r="H47" s="259">
        <f>'Income Statement Projections'!BM13</f>
        <v>92</v>
      </c>
      <c r="I47" s="259">
        <f>'Income Statement Projections'!BN13</f>
        <v>116</v>
      </c>
      <c r="J47" s="259">
        <f>'Income Statement Projections'!BO13</f>
        <v>128</v>
      </c>
    </row>
    <row r="48" spans="2:16" hidden="1">
      <c r="D48" t="s">
        <v>492</v>
      </c>
      <c r="E48" s="258">
        <f>'Income Statement Projections'!B18</f>
        <v>4.125</v>
      </c>
      <c r="F48" s="258">
        <f>'Income Statement Projections'!BK18</f>
        <v>8.25</v>
      </c>
      <c r="G48" s="258">
        <f>'Income Statement Projections'!BL18</f>
        <v>12.75</v>
      </c>
      <c r="H48" s="258">
        <f>'Income Statement Projections'!BM18</f>
        <v>17.250000000000004</v>
      </c>
      <c r="I48" s="258">
        <f>'Income Statement Projections'!BN18</f>
        <v>21.75</v>
      </c>
      <c r="J48" s="258">
        <f>'Income Statement Projections'!BO18</f>
        <v>24</v>
      </c>
    </row>
    <row r="49" spans="2:14" hidden="1">
      <c r="D49" t="s">
        <v>493</v>
      </c>
      <c r="E49" s="258">
        <f>'Income Statement Projections'!B19</f>
        <v>1.2572019999999999</v>
      </c>
      <c r="F49" s="258">
        <f>'Income Statement Projections'!BK19</f>
        <v>1.5144039999999999</v>
      </c>
      <c r="G49" s="258">
        <f>'Income Statement Projections'!BL19</f>
        <v>1.794988</v>
      </c>
      <c r="H49" s="258">
        <f>'Income Statement Projections'!BM19</f>
        <v>2.0755720000000002</v>
      </c>
      <c r="I49" s="258">
        <f>'Income Statement Projections'!BN19</f>
        <v>2.3561559999999999</v>
      </c>
      <c r="J49" s="258">
        <f>'Income Statement Projections'!BO19</f>
        <v>2.496448</v>
      </c>
    </row>
    <row r="50" spans="2:14" hidden="1">
      <c r="D50" t="str">
        <f>'Income Statement Projections'!A26</f>
        <v>Total Direct Care Hours</v>
      </c>
      <c r="E50" s="387" t="s">
        <v>494</v>
      </c>
      <c r="F50" s="259">
        <f>'Income Statement Projections'!BK26</f>
        <v>18078.39</v>
      </c>
      <c r="G50" s="259">
        <f>'Income Statement Projections'!BL26</f>
        <v>31226.309999999998</v>
      </c>
      <c r="H50" s="259">
        <f>'Income Statement Projections'!BM26</f>
        <v>44374.23</v>
      </c>
      <c r="I50" s="259">
        <f>'Income Statement Projections'!BN26</f>
        <v>57522.149999999994</v>
      </c>
      <c r="J50" s="259">
        <f>'Income Statement Projections'!BO26</f>
        <v>67109.175000000017</v>
      </c>
    </row>
    <row r="51" spans="2:14">
      <c r="E51" s="387"/>
      <c r="F51" s="259"/>
      <c r="G51" s="259"/>
      <c r="H51" s="259"/>
      <c r="I51" s="259"/>
      <c r="J51" s="259"/>
    </row>
    <row r="52" spans="2:14" ht="18.75">
      <c r="B52" s="461" t="s">
        <v>525</v>
      </c>
      <c r="C52" s="371" t="s">
        <v>495</v>
      </c>
      <c r="D52" s="371" t="s">
        <v>31</v>
      </c>
      <c r="E52" s="371" t="s">
        <v>32</v>
      </c>
      <c r="F52" s="371" t="s">
        <v>33</v>
      </c>
      <c r="G52" s="371" t="s">
        <v>34</v>
      </c>
      <c r="H52" s="371" t="s">
        <v>35</v>
      </c>
      <c r="J52" s="20" t="s">
        <v>31</v>
      </c>
      <c r="K52" s="20" t="s">
        <v>32</v>
      </c>
      <c r="L52" s="20" t="s">
        <v>33</v>
      </c>
      <c r="M52" s="20" t="s">
        <v>34</v>
      </c>
      <c r="N52" s="20" t="s">
        <v>35</v>
      </c>
    </row>
    <row r="53" spans="2:14">
      <c r="B53" s="1" t="str">
        <f>'Income Statement Projections'!A33</f>
        <v>Revenues</v>
      </c>
      <c r="C53" s="1"/>
    </row>
    <row r="54" spans="2:14">
      <c r="B54" s="347" t="str">
        <f>'Income Statement Projections'!A34</f>
        <v>Public Programs</v>
      </c>
      <c r="C54" s="347"/>
      <c r="D54" s="259">
        <f>'Income Statement Projections'!BK34</f>
        <v>0</v>
      </c>
      <c r="E54" s="259">
        <f>'Income Statement Projections'!BL34</f>
        <v>0</v>
      </c>
      <c r="F54" s="259">
        <f>'Income Statement Projections'!BM34</f>
        <v>0</v>
      </c>
      <c r="G54" s="259">
        <f>'Income Statement Projections'!BN34</f>
        <v>0</v>
      </c>
      <c r="H54" s="259">
        <f>'Income Statement Projections'!BO34</f>
        <v>0</v>
      </c>
      <c r="J54" s="8">
        <f t="shared" ref="J54:N56" si="1">D54/D$56</f>
        <v>0</v>
      </c>
      <c r="K54" s="8">
        <f t="shared" si="1"/>
        <v>0</v>
      </c>
      <c r="L54" s="8">
        <f t="shared" si="1"/>
        <v>0</v>
      </c>
      <c r="M54" s="8">
        <f t="shared" si="1"/>
        <v>0</v>
      </c>
      <c r="N54" s="8">
        <f t="shared" si="1"/>
        <v>0</v>
      </c>
    </row>
    <row r="55" spans="2:14">
      <c r="B55" s="347" t="str">
        <f>'Income Statement Projections'!A35</f>
        <v>Private Pay</v>
      </c>
      <c r="C55" s="347"/>
      <c r="D55" s="259">
        <f>'Income Statement Projections'!BK35</f>
        <v>385803</v>
      </c>
      <c r="E55" s="259">
        <f>'Income Statement Projections'!BL35</f>
        <v>666387</v>
      </c>
      <c r="F55" s="259">
        <f>'Income Statement Projections'!BM35</f>
        <v>946971</v>
      </c>
      <c r="G55" s="259">
        <f>'Income Statement Projections'!BN35</f>
        <v>1227555</v>
      </c>
      <c r="H55" s="259">
        <f>'Income Statement Projections'!BO35</f>
        <v>1432147.5</v>
      </c>
      <c r="J55" s="8">
        <f t="shared" si="1"/>
        <v>1</v>
      </c>
      <c r="K55" s="8">
        <f t="shared" si="1"/>
        <v>1</v>
      </c>
      <c r="L55" s="8">
        <f t="shared" si="1"/>
        <v>1</v>
      </c>
      <c r="M55" s="8">
        <f t="shared" si="1"/>
        <v>1</v>
      </c>
      <c r="N55" s="8">
        <f t="shared" si="1"/>
        <v>1</v>
      </c>
    </row>
    <row r="56" spans="2:14">
      <c r="B56" s="51" t="str">
        <f>'Income Statement Projections'!A36</f>
        <v>Total Revenues</v>
      </c>
      <c r="C56" s="51"/>
      <c r="D56" s="370">
        <f>'Income Statement Projections'!BK36</f>
        <v>385803</v>
      </c>
      <c r="E56" s="370">
        <f>'Income Statement Projections'!BL36</f>
        <v>666387</v>
      </c>
      <c r="F56" s="370">
        <f>'Income Statement Projections'!BM36</f>
        <v>946971</v>
      </c>
      <c r="G56" s="370">
        <f>'Income Statement Projections'!BN36</f>
        <v>1227555</v>
      </c>
      <c r="H56" s="370">
        <f>'Income Statement Projections'!BO36</f>
        <v>1432147.5</v>
      </c>
      <c r="J56" s="372">
        <f t="shared" si="1"/>
        <v>1</v>
      </c>
      <c r="K56" s="372">
        <f t="shared" si="1"/>
        <v>1</v>
      </c>
      <c r="L56" s="372">
        <f t="shared" si="1"/>
        <v>1</v>
      </c>
      <c r="M56" s="372">
        <f t="shared" si="1"/>
        <v>1</v>
      </c>
      <c r="N56" s="372">
        <f t="shared" si="1"/>
        <v>1</v>
      </c>
    </row>
    <row r="58" spans="2:14">
      <c r="B58" s="1" t="s">
        <v>483</v>
      </c>
      <c r="C58" s="1"/>
    </row>
    <row r="59" spans="2:14">
      <c r="B59" s="1" t="s">
        <v>468</v>
      </c>
      <c r="C59" s="1"/>
    </row>
    <row r="60" spans="2:14">
      <c r="B60" s="347" t="str">
        <f>'Income Statement Projections'!A43</f>
        <v>Total Direct Care Wages</v>
      </c>
      <c r="C60" s="347"/>
      <c r="D60" s="259">
        <f>'Income Statement Projections'!BK43</f>
        <v>206087.68221431412</v>
      </c>
      <c r="E60" s="259">
        <f>'Income Statement Projections'!BL43</f>
        <v>355969.63291563344</v>
      </c>
      <c r="F60" s="259">
        <f>'Income Statement Projections'!BM43</f>
        <v>505851.58361695288</v>
      </c>
      <c r="G60" s="259">
        <f>'Income Statement Projections'!BN43</f>
        <v>655733.53431827214</v>
      </c>
      <c r="H60" s="259">
        <f>'Income Statement Projections'!BO43</f>
        <v>765022.45670465089</v>
      </c>
      <c r="J60" s="8">
        <f t="shared" ref="J60:N62" si="2">D60/D$56</f>
        <v>0.53417853726983489</v>
      </c>
      <c r="K60" s="8">
        <f t="shared" si="2"/>
        <v>0.53417853726983489</v>
      </c>
      <c r="L60" s="8">
        <f t="shared" si="2"/>
        <v>0.534178537269835</v>
      </c>
      <c r="M60" s="8">
        <f t="shared" si="2"/>
        <v>0.53417853726983489</v>
      </c>
      <c r="N60" s="8">
        <f t="shared" si="2"/>
        <v>0.53417853726983489</v>
      </c>
    </row>
    <row r="61" spans="2:14">
      <c r="B61" s="347" t="str">
        <f>'Income Statement Projections'!A53</f>
        <v>Total Direct Care Benefits</v>
      </c>
      <c r="C61" s="347"/>
      <c r="D61" s="259">
        <f>'Income Statement Projections'!BK53</f>
        <v>62390.177216618526</v>
      </c>
      <c r="E61" s="259">
        <f>'Income Statement Projections'!BL53</f>
        <v>107764.85155597745</v>
      </c>
      <c r="F61" s="259">
        <f>'Income Statement Projections'!BM53</f>
        <v>153139.52589533635</v>
      </c>
      <c r="G61" s="259">
        <f>'Income Statement Projections'!BN53</f>
        <v>198514.20023469528</v>
      </c>
      <c r="H61" s="259">
        <f>'Income Statement Projections'!BO53</f>
        <v>231599.90027381116</v>
      </c>
      <c r="J61" s="8">
        <f t="shared" si="2"/>
        <v>0.16171511682547446</v>
      </c>
      <c r="K61" s="8">
        <f t="shared" si="2"/>
        <v>0.16171511682547446</v>
      </c>
      <c r="L61" s="8">
        <f t="shared" si="2"/>
        <v>0.16171511682547443</v>
      </c>
      <c r="M61" s="8">
        <f t="shared" si="2"/>
        <v>0.16171511682547443</v>
      </c>
      <c r="N61" s="8">
        <f t="shared" si="2"/>
        <v>0.16171511682547443</v>
      </c>
    </row>
    <row r="62" spans="2:14">
      <c r="B62" s="51" t="str">
        <f>'Income Statement Projections'!A55</f>
        <v>Total Direct Costs</v>
      </c>
      <c r="C62" s="51"/>
      <c r="D62" s="370">
        <f>'Income Statement Projections'!BK55</f>
        <v>268477.85943093267</v>
      </c>
      <c r="E62" s="370">
        <f>'Income Statement Projections'!BL55</f>
        <v>463734.48447161098</v>
      </c>
      <c r="F62" s="370">
        <f>'Income Statement Projections'!BM55</f>
        <v>658991.10951228929</v>
      </c>
      <c r="G62" s="370">
        <f>'Income Statement Projections'!BN55</f>
        <v>854247.73455296748</v>
      </c>
      <c r="H62" s="370">
        <f>'Income Statement Projections'!BO55</f>
        <v>996622.35697846208</v>
      </c>
      <c r="J62" s="372">
        <f t="shared" si="2"/>
        <v>0.69589365409530946</v>
      </c>
      <c r="K62" s="372">
        <f t="shared" si="2"/>
        <v>0.69589365409530946</v>
      </c>
      <c r="L62" s="372">
        <f t="shared" si="2"/>
        <v>0.69589365409530946</v>
      </c>
      <c r="M62" s="372">
        <f t="shared" si="2"/>
        <v>0.69589365409530934</v>
      </c>
      <c r="N62" s="372">
        <f t="shared" si="2"/>
        <v>0.69589365409530934</v>
      </c>
    </row>
    <row r="64" spans="2:14">
      <c r="B64" s="373" t="str">
        <f>'Income Statement Projections'!A57</f>
        <v>Gross Margin</v>
      </c>
      <c r="C64" s="373"/>
      <c r="D64" s="374">
        <f>'Income Statement Projections'!BK57</f>
        <v>117325.14056906734</v>
      </c>
      <c r="E64" s="374">
        <f>'Income Statement Projections'!BL57</f>
        <v>202652.51552838911</v>
      </c>
      <c r="F64" s="374">
        <f>'Income Statement Projections'!BM57</f>
        <v>287979.89048771077</v>
      </c>
      <c r="G64" s="374">
        <f>'Income Statement Projections'!BN57</f>
        <v>373307.26544703252</v>
      </c>
      <c r="H64" s="374">
        <f>'Income Statement Projections'!BO57</f>
        <v>435525.14302153798</v>
      </c>
      <c r="I64" s="1"/>
      <c r="J64" s="410">
        <f>D64/D$56</f>
        <v>0.3041063459046906</v>
      </c>
      <c r="K64" s="410">
        <f>E64/E$56</f>
        <v>0.30410634590469066</v>
      </c>
      <c r="L64" s="410">
        <f>F64/F$56</f>
        <v>0.3041063459046906</v>
      </c>
      <c r="M64" s="410">
        <f>G64/G$56</f>
        <v>0.30410634590469066</v>
      </c>
      <c r="N64" s="410">
        <f>H64/H$56</f>
        <v>0.30410634590469066</v>
      </c>
    </row>
    <row r="66" spans="2:14">
      <c r="B66" s="1" t="str">
        <f>'Income Statement Projections'!A60</f>
        <v>Indirect Expenses</v>
      </c>
      <c r="C66" s="1"/>
    </row>
    <row r="67" spans="2:14">
      <c r="B67" s="182" t="s">
        <v>484</v>
      </c>
      <c r="C67" s="182"/>
      <c r="D67" s="259">
        <f>'Income Statement Projections'!BK65+'Income Statement Projections'!BK75+'Income Statement Projections'!BK79+'Income Statement Projections'!BK88</f>
        <v>127385.51332270016</v>
      </c>
      <c r="E67" s="259">
        <f>'Income Statement Projections'!BL65+'Income Statement Projections'!BL75+'Income Statement Projections'!BL79+'Income Statement Projections'!BL88</f>
        <v>148281.98032318012</v>
      </c>
      <c r="F67" s="259">
        <f>'Income Statement Projections'!BM65+'Income Statement Projections'!BM75+'Income Statement Projections'!BM79+'Income Statement Projections'!BM88</f>
        <v>169178.44732366005</v>
      </c>
      <c r="G67" s="259">
        <f>'Income Statement Projections'!BN65+'Income Statement Projections'!BN75+'Income Statement Projections'!BN79+'Income Statement Projections'!BN88</f>
        <v>190074.91432413997</v>
      </c>
      <c r="H67" s="259">
        <f>'Income Statement Projections'!BO65+'Income Statement Projections'!BO75+'Income Statement Projections'!BO79+'Income Statement Projections'!BO88</f>
        <v>205311.92151198996</v>
      </c>
      <c r="J67" s="8">
        <f t="shared" ref="J67:N69" si="3">D67/D$56</f>
        <v>0.33018279620091123</v>
      </c>
      <c r="K67" s="8">
        <f t="shared" si="3"/>
        <v>0.22251631607936548</v>
      </c>
      <c r="L67" s="8">
        <f t="shared" si="3"/>
        <v>0.17865219454836531</v>
      </c>
      <c r="M67" s="8">
        <f t="shared" si="3"/>
        <v>0.15484024286010808</v>
      </c>
      <c r="N67" s="8">
        <f t="shared" si="3"/>
        <v>0.14335948043898408</v>
      </c>
    </row>
    <row r="68" spans="2:14">
      <c r="B68" s="182" t="s">
        <v>321</v>
      </c>
      <c r="C68" s="182"/>
      <c r="D68" s="259">
        <f>'Income Statement Projections'!BK103</f>
        <v>60284.47699607681</v>
      </c>
      <c r="E68" s="259">
        <f>'Income Statement Projections'!BL103</f>
        <v>42122.96026595086</v>
      </c>
      <c r="F68" s="259">
        <f>'Income Statement Projections'!BM103</f>
        <v>59858.94353582491</v>
      </c>
      <c r="G68" s="259">
        <f>'Income Statement Projections'!BN103</f>
        <v>77594.926805698939</v>
      </c>
      <c r="H68" s="259">
        <f>'Income Statement Projections'!BO103</f>
        <v>90527.414606648774</v>
      </c>
      <c r="J68" s="8">
        <f t="shared" si="3"/>
        <v>0.15625714936399357</v>
      </c>
      <c r="K68" s="8">
        <f t="shared" si="3"/>
        <v>6.3210957395553727E-2</v>
      </c>
      <c r="L68" s="8">
        <f t="shared" si="3"/>
        <v>6.3210957395553727E-2</v>
      </c>
      <c r="M68" s="8">
        <f t="shared" si="3"/>
        <v>6.3210957395553713E-2</v>
      </c>
      <c r="N68" s="8">
        <f t="shared" si="3"/>
        <v>6.3210957395553727E-2</v>
      </c>
    </row>
    <row r="69" spans="2:14">
      <c r="B69" s="51" t="s">
        <v>485</v>
      </c>
      <c r="C69" s="51"/>
      <c r="D69" s="370">
        <f>'Income Statement Projections'!BK107</f>
        <v>-70344.849749709625</v>
      </c>
      <c r="E69" s="370">
        <f>'Income Statement Projections'!BL107</f>
        <v>12247.574939258111</v>
      </c>
      <c r="F69" s="370">
        <f>'Income Statement Projections'!BM107</f>
        <v>58942.499628225829</v>
      </c>
      <c r="G69" s="370">
        <f>'Income Statement Projections'!BN107</f>
        <v>105637.42431719357</v>
      </c>
      <c r="H69" s="370">
        <f>'Income Statement Projections'!BO107</f>
        <v>139685.8069028992</v>
      </c>
      <c r="J69" s="372">
        <f t="shared" si="3"/>
        <v>-0.18233359966021423</v>
      </c>
      <c r="K69" s="372">
        <f t="shared" si="3"/>
        <v>1.8379072429771454E-2</v>
      </c>
      <c r="L69" s="372">
        <f t="shared" si="3"/>
        <v>6.2243193960771583E-2</v>
      </c>
      <c r="M69" s="372">
        <f t="shared" si="3"/>
        <v>8.6055145649028816E-2</v>
      </c>
      <c r="N69" s="372">
        <f t="shared" si="3"/>
        <v>9.7535908070152832E-2</v>
      </c>
    </row>
    <row r="71" spans="2:14">
      <c r="B71" s="51" t="s">
        <v>58</v>
      </c>
      <c r="C71" s="51"/>
      <c r="D71" s="370">
        <f>'Income Statement Projections'!BK111</f>
        <v>11038.090221696331</v>
      </c>
      <c r="E71" s="370">
        <f>'Income Statement Projections'!BL111</f>
        <v>8857.1237244236545</v>
      </c>
      <c r="F71" s="370">
        <f>'Income Statement Projections'!BM111</f>
        <v>6541.6399858494178</v>
      </c>
      <c r="G71" s="370">
        <f>'Income Statement Projections'!BN111</f>
        <v>4083.3422768720889</v>
      </c>
      <c r="H71" s="370">
        <f>'Income Statement Projections'!BO111</f>
        <v>1473.4221442935286</v>
      </c>
      <c r="J71" s="372">
        <f t="shared" ref="J71:N73" si="4">D71/D$56</f>
        <v>2.8610690486326782E-2</v>
      </c>
      <c r="K71" s="372">
        <f t="shared" si="4"/>
        <v>1.3291261270738557E-2</v>
      </c>
      <c r="L71" s="372">
        <f t="shared" si="4"/>
        <v>6.9079623197008336E-3</v>
      </c>
      <c r="M71" s="372">
        <f t="shared" si="4"/>
        <v>3.3264027085320729E-3</v>
      </c>
      <c r="N71" s="372">
        <f t="shared" si="4"/>
        <v>1.0288201070724409E-3</v>
      </c>
    </row>
    <row r="72" spans="2:14">
      <c r="B72" s="380" t="s">
        <v>486</v>
      </c>
      <c r="C72" s="380"/>
      <c r="D72" s="381">
        <f>'Income Statement Projections'!BK113</f>
        <v>0</v>
      </c>
      <c r="E72" s="381">
        <f>'Income Statement Projections'!BL113</f>
        <v>1188.7617999513279</v>
      </c>
      <c r="F72" s="381">
        <f>'Income Statement Projections'!BM113</f>
        <v>7860.1289463564617</v>
      </c>
      <c r="G72" s="381">
        <f>'Income Statement Projections'!BN113</f>
        <v>15233.112306048217</v>
      </c>
      <c r="H72" s="381">
        <f>'Income Statement Projections'!BO113</f>
        <v>20731.857713790847</v>
      </c>
      <c r="J72" s="372">
        <f t="shared" si="4"/>
        <v>0</v>
      </c>
      <c r="K72" s="372">
        <f t="shared" si="4"/>
        <v>1.7838910422192029E-3</v>
      </c>
      <c r="L72" s="372">
        <f t="shared" si="4"/>
        <v>8.3002847461606123E-3</v>
      </c>
      <c r="M72" s="372">
        <f t="shared" si="4"/>
        <v>1.2409311441074508E-2</v>
      </c>
      <c r="N72" s="372">
        <f t="shared" si="4"/>
        <v>1.4476063194462055E-2</v>
      </c>
    </row>
    <row r="73" spans="2:14" ht="15.75" thickBot="1">
      <c r="B73" s="382" t="s">
        <v>431</v>
      </c>
      <c r="C73" s="382"/>
      <c r="D73" s="383">
        <f>'Income Statement Projections'!BK114</f>
        <v>-81382.939971405969</v>
      </c>
      <c r="E73" s="383">
        <f>'Income Statement Projections'!BL114</f>
        <v>2201.6894148831279</v>
      </c>
      <c r="F73" s="383">
        <f>'Income Statement Projections'!BM114</f>
        <v>44540.730696019957</v>
      </c>
      <c r="G73" s="383">
        <f>'Income Statement Projections'!BN114</f>
        <v>86320.96973427324</v>
      </c>
      <c r="H73" s="383">
        <f>'Income Statement Projections'!BO114</f>
        <v>117480.52704481484</v>
      </c>
      <c r="J73" s="384">
        <f t="shared" si="4"/>
        <v>-0.21094429014654104</v>
      </c>
      <c r="K73" s="384">
        <f t="shared" si="4"/>
        <v>3.3039201168136951E-3</v>
      </c>
      <c r="L73" s="384">
        <f t="shared" si="4"/>
        <v>4.7034946894910147E-2</v>
      </c>
      <c r="M73" s="384">
        <f t="shared" si="4"/>
        <v>7.0319431499422214E-2</v>
      </c>
      <c r="N73" s="384">
        <f t="shared" si="4"/>
        <v>8.2031024768618344E-2</v>
      </c>
    </row>
    <row r="74" spans="2:14" ht="15.75" thickTop="1"/>
    <row r="76" spans="2:14" ht="18.75">
      <c r="B76" s="461" t="s">
        <v>526</v>
      </c>
    </row>
    <row r="77" spans="2:14">
      <c r="B77" t="s">
        <v>527</v>
      </c>
      <c r="D77" s="288">
        <f>'Bal Sheet &amp; Cash Flow'!BL61</f>
        <v>-162882.90357531171</v>
      </c>
      <c r="E77" s="288">
        <f>'Bal Sheet &amp; Cash Flow'!BM61</f>
        <v>-44562.310585116873</v>
      </c>
      <c r="F77" s="288">
        <f>'Bal Sheet &amp; Cash Flow'!BN61</f>
        <v>-2223.2693039800479</v>
      </c>
      <c r="G77" s="288">
        <f>'Bal Sheet &amp; Cash Flow'!BO61</f>
        <v>39556.969734273247</v>
      </c>
      <c r="H77" s="288">
        <f>'Bal Sheet &amp; Cash Flow'!BP61</f>
        <v>94098.527044814837</v>
      </c>
    </row>
    <row r="78" spans="2:14">
      <c r="B78" t="s">
        <v>443</v>
      </c>
      <c r="D78" s="288">
        <f>'Bal Sheet &amp; Cash Flow'!BL65</f>
        <v>0</v>
      </c>
      <c r="E78" s="288">
        <f>'Bal Sheet &amp; Cash Flow'!BM65</f>
        <v>0</v>
      </c>
      <c r="F78" s="288">
        <f>'Bal Sheet &amp; Cash Flow'!BN65</f>
        <v>0</v>
      </c>
      <c r="G78" s="288">
        <f>'Bal Sheet &amp; Cash Flow'!BO65</f>
        <v>0</v>
      </c>
      <c r="H78" s="288">
        <f>'Bal Sheet &amp; Cash Flow'!BP65</f>
        <v>0</v>
      </c>
    </row>
    <row r="79" spans="2:14" ht="15.75" thickBot="1">
      <c r="B79" t="s">
        <v>528</v>
      </c>
      <c r="D79" s="452">
        <f>'Bal Sheet &amp; Cash Flow'!BL78</f>
        <v>-31830.592048930703</v>
      </c>
      <c r="E79" s="452">
        <f>'Bal Sheet &amp; Cash Flow'!BM78</f>
        <v>-31922.593496203364</v>
      </c>
      <c r="F79" s="452">
        <f>'Bal Sheet &amp; Cash Flow'!BN78</f>
        <v>-32086.814434777552</v>
      </c>
      <c r="G79" s="452">
        <f>'Bal Sheet &amp; Cash Flow'!BO78</f>
        <v>-32393.849343754911</v>
      </c>
      <c r="H79" s="452">
        <f>'Bal Sheet &amp; Cash Flow'!BP78</f>
        <v>-33465.019001333472</v>
      </c>
    </row>
    <row r="80" spans="2:14" ht="15.75" thickTop="1">
      <c r="B80" s="1" t="s">
        <v>529</v>
      </c>
      <c r="D80" s="288">
        <f>'Bal Sheet &amp; Cash Flow'!BL80</f>
        <v>-194713.49562424241</v>
      </c>
      <c r="E80" s="288">
        <f>'Bal Sheet &amp; Cash Flow'!BM80</f>
        <v>-76484.90408132023</v>
      </c>
      <c r="F80" s="288">
        <f>'Bal Sheet &amp; Cash Flow'!BN80</f>
        <v>-34310.083738757603</v>
      </c>
      <c r="G80" s="288">
        <f>'Bal Sheet &amp; Cash Flow'!BO80</f>
        <v>7163.1203905183384</v>
      </c>
      <c r="H80" s="288">
        <f>'Bal Sheet &amp; Cash Flow'!BP80</f>
        <v>60633.508043481357</v>
      </c>
    </row>
    <row r="83" spans="2:8" ht="18.75">
      <c r="B83" s="461" t="s">
        <v>557</v>
      </c>
      <c r="D83" s="386"/>
      <c r="E83" s="386"/>
    </row>
    <row r="84" spans="2:8">
      <c r="B84" t="s">
        <v>111</v>
      </c>
      <c r="D84" s="288">
        <f>'Bal Sheet &amp; Cash Flow'!BL5</f>
        <v>1052.4679796633409</v>
      </c>
      <c r="E84" s="288">
        <f>'Bal Sheet &amp; Cash Flow'!BM5</f>
        <v>-75432.436101656887</v>
      </c>
      <c r="F84" s="288">
        <f>'Bal Sheet &amp; Cash Flow'!BN5</f>
        <v>-109742.5198404145</v>
      </c>
      <c r="G84" s="288">
        <f>'Bal Sheet &amp; Cash Flow'!BO5</f>
        <v>-102579.39944989615</v>
      </c>
      <c r="H84" s="288">
        <f>'Bal Sheet &amp; Cash Flow'!BP5</f>
        <v>-41945.891406414783</v>
      </c>
    </row>
    <row r="85" spans="2:8">
      <c r="B85" t="s">
        <v>113</v>
      </c>
      <c r="D85" s="288">
        <f>'Bal Sheet &amp; Cash Flow'!BL6+'Bal Sheet &amp; Cash Flow'!BL7+'Bal Sheet &amp; Cash Flow'!BL8</f>
        <v>85734</v>
      </c>
      <c r="E85" s="288">
        <f>'Bal Sheet &amp; Cash Flow'!BM6+'Bal Sheet &amp; Cash Flow'!BM7+'Bal Sheet &amp; Cash Flow'!BM8</f>
        <v>132498</v>
      </c>
      <c r="F85" s="288">
        <f>'Bal Sheet &amp; Cash Flow'!BN6+'Bal Sheet &amp; Cash Flow'!BN7+'Bal Sheet &amp; Cash Flow'!BN8</f>
        <v>179262</v>
      </c>
      <c r="G85" s="288">
        <f>'Bal Sheet &amp; Cash Flow'!BO6+'Bal Sheet &amp; Cash Flow'!BO7+'Bal Sheet &amp; Cash Flow'!BO8</f>
        <v>226026</v>
      </c>
      <c r="H85" s="288">
        <f>'Bal Sheet &amp; Cash Flow'!BP6+'Bal Sheet &amp; Cash Flow'!BP7+'Bal Sheet &amp; Cash Flow'!BP8</f>
        <v>249408</v>
      </c>
    </row>
    <row r="86" spans="2:8">
      <c r="B86" t="s">
        <v>530</v>
      </c>
      <c r="D86" s="454">
        <f>'Bal Sheet &amp; Cash Flow'!BL15</f>
        <v>0</v>
      </c>
      <c r="E86" s="454">
        <f>'Bal Sheet &amp; Cash Flow'!BM15</f>
        <v>0</v>
      </c>
      <c r="F86" s="454">
        <f>'Bal Sheet &amp; Cash Flow'!BN15</f>
        <v>0</v>
      </c>
      <c r="G86" s="454">
        <f>'Bal Sheet &amp; Cash Flow'!BO15</f>
        <v>0</v>
      </c>
      <c r="H86" s="454">
        <f>'Bal Sheet &amp; Cash Flow'!BP15</f>
        <v>0</v>
      </c>
    </row>
    <row r="87" spans="2:8" s="1" customFormat="1">
      <c r="B87" s="1" t="s">
        <v>119</v>
      </c>
      <c r="D87" s="453">
        <f>SUM(D84:D86)</f>
        <v>86786.467979663343</v>
      </c>
      <c r="E87" s="453">
        <f t="shared" ref="E87:H87" si="5">SUM(E84:E86)</f>
        <v>57065.563898343113</v>
      </c>
      <c r="F87" s="453">
        <f t="shared" si="5"/>
        <v>69519.480159585495</v>
      </c>
      <c r="G87" s="453">
        <f t="shared" si="5"/>
        <v>123446.60055010385</v>
      </c>
      <c r="H87" s="453">
        <f t="shared" si="5"/>
        <v>207462.1085935852</v>
      </c>
    </row>
    <row r="88" spans="2:8">
      <c r="D88" s="288"/>
      <c r="E88" s="288"/>
      <c r="F88" s="288"/>
      <c r="G88" s="288"/>
      <c r="H88" s="288"/>
    </row>
    <row r="89" spans="2:8">
      <c r="B89" t="s">
        <v>531</v>
      </c>
      <c r="D89" s="288">
        <f>'Bal Sheet &amp; Cash Flow'!BL31</f>
        <v>37541.599946203343</v>
      </c>
      <c r="E89" s="288">
        <f>'Bal Sheet &amp; Cash Flow'!BM31</f>
        <v>39857.083684777586</v>
      </c>
      <c r="F89" s="288">
        <f>'Bal Sheet &amp; Cash Flow'!BN31</f>
        <v>42315.381393754906</v>
      </c>
      <c r="G89" s="288">
        <f>'Bal Sheet &amp; Cash Flow'!BO31</f>
        <v>44925.301526333467</v>
      </c>
      <c r="H89" s="288">
        <f>'Bal Sheet &amp; Cash Flow'!BP31</f>
        <v>0</v>
      </c>
    </row>
    <row r="90" spans="2:8">
      <c r="B90" t="s">
        <v>532</v>
      </c>
      <c r="D90" s="454">
        <f>'Bal Sheet &amp; Cash Flow'!BL33+'Bal Sheet &amp; Cash Flow'!BL34+'Bal Sheet &amp; Cash Flow'!BL35</f>
        <v>127097.76660486596</v>
      </c>
      <c r="E90" s="454">
        <f>'Bal Sheet &amp; Cash Flow'!BM33+'Bal Sheet &amp; Cash Flow'!BM34+'Bal Sheet &amp; Cash Flow'!BM35</f>
        <v>87240.682920088351</v>
      </c>
      <c r="F90" s="454">
        <f>'Bal Sheet &amp; Cash Flow'!BN33+'Bal Sheet &amp; Cash Flow'!BN34+'Bal Sheet &amp; Cash Flow'!BN35</f>
        <v>44925.301526333475</v>
      </c>
      <c r="G90" s="454">
        <f>'Bal Sheet &amp; Cash Flow'!BO33+'Bal Sheet &amp; Cash Flow'!BO34+'Bal Sheet &amp; Cash Flow'!BO35</f>
        <v>0</v>
      </c>
      <c r="H90" s="454">
        <f>'Bal Sheet &amp; Cash Flow'!BP33+'Bal Sheet &amp; Cash Flow'!BP34+'Bal Sheet &amp; Cash Flow'!BP35</f>
        <v>0</v>
      </c>
    </row>
    <row r="91" spans="2:8" s="22" customFormat="1">
      <c r="B91" s="22" t="s">
        <v>124</v>
      </c>
      <c r="D91" s="455">
        <f>SUM(D89:D90)</f>
        <v>164639.36655106931</v>
      </c>
      <c r="E91" s="455">
        <f t="shared" ref="E91:H91" si="6">SUM(E89:E90)</f>
        <v>127097.76660486593</v>
      </c>
      <c r="F91" s="455">
        <f t="shared" si="6"/>
        <v>87240.68292008838</v>
      </c>
      <c r="G91" s="455">
        <f t="shared" si="6"/>
        <v>44925.301526333467</v>
      </c>
      <c r="H91" s="455">
        <f t="shared" si="6"/>
        <v>0</v>
      </c>
    </row>
    <row r="92" spans="2:8">
      <c r="D92" s="288"/>
      <c r="E92" s="288"/>
      <c r="F92" s="288"/>
      <c r="G92" s="288"/>
      <c r="H92" s="288"/>
    </row>
    <row r="93" spans="2:8">
      <c r="B93" t="s">
        <v>533</v>
      </c>
      <c r="D93" s="288">
        <f>'Bal Sheet &amp; Cash Flow'!BL38</f>
        <v>3530.0414000000005</v>
      </c>
      <c r="E93" s="288">
        <f>'Bal Sheet &amp; Cash Flow'!BM38</f>
        <v>9149.0478500000027</v>
      </c>
      <c r="F93" s="288">
        <f>'Bal Sheet &amp; Cash Flow'!BN38</f>
        <v>16919.317100000004</v>
      </c>
      <c r="G93" s="288">
        <f>'Bal Sheet &amp; Cash Flow'!BO38</f>
        <v>26840.849150000005</v>
      </c>
      <c r="H93" s="288">
        <f>'Bal Sheet &amp; Cash Flow'!BP38</f>
        <v>38301.131674999997</v>
      </c>
    </row>
    <row r="94" spans="2:8">
      <c r="B94" t="s">
        <v>126</v>
      </c>
      <c r="D94" s="454">
        <f>'Bal Sheet &amp; Cash Flow'!BL39</f>
        <v>-81382.939971405969</v>
      </c>
      <c r="E94" s="454">
        <f>'Bal Sheet &amp; Cash Flow'!BM39</f>
        <v>-79181.250556522849</v>
      </c>
      <c r="F94" s="454">
        <f>'Bal Sheet &amp; Cash Flow'!BN39</f>
        <v>-34640.519860502878</v>
      </c>
      <c r="G94" s="454">
        <f>'Bal Sheet &amp; Cash Flow'!BO39</f>
        <v>51680.449873770376</v>
      </c>
      <c r="H94" s="454">
        <f>'Bal Sheet &amp; Cash Flow'!BP39</f>
        <v>169160.97691858522</v>
      </c>
    </row>
    <row r="95" spans="2:8" s="22" customFormat="1">
      <c r="B95" s="22" t="s">
        <v>534</v>
      </c>
      <c r="D95" s="455">
        <f>SUM(D93:D94)</f>
        <v>-77852.898571405967</v>
      </c>
      <c r="E95" s="455">
        <f t="shared" ref="E95:H95" si="7">SUM(E93:E94)</f>
        <v>-70032.202706522847</v>
      </c>
      <c r="F95" s="455">
        <f t="shared" si="7"/>
        <v>-17721.202760502874</v>
      </c>
      <c r="G95" s="455">
        <f t="shared" si="7"/>
        <v>78521.299023770378</v>
      </c>
      <c r="H95" s="455">
        <f t="shared" si="7"/>
        <v>207462.1085935852</v>
      </c>
    </row>
    <row r="96" spans="2:8">
      <c r="D96" s="288"/>
      <c r="E96" s="288"/>
      <c r="F96" s="288"/>
      <c r="G96" s="288"/>
      <c r="H96" s="288"/>
    </row>
    <row r="97" spans="2:8" s="1" customFormat="1">
      <c r="B97" s="1" t="s">
        <v>129</v>
      </c>
      <c r="D97" s="453">
        <f>D95+D91</f>
        <v>86786.467979663343</v>
      </c>
      <c r="E97" s="453">
        <f t="shared" ref="E97:H97" si="8">E95+E91</f>
        <v>57065.563898343084</v>
      </c>
      <c r="F97" s="453">
        <f t="shared" si="8"/>
        <v>69519.48015958551</v>
      </c>
      <c r="G97" s="453">
        <f t="shared" si="8"/>
        <v>123446.60055010385</v>
      </c>
      <c r="H97" s="453">
        <f t="shared" si="8"/>
        <v>207462.1085935852</v>
      </c>
    </row>
    <row r="99" spans="2:8" hidden="1">
      <c r="B99" t="s">
        <v>500</v>
      </c>
      <c r="C99" s="259">
        <f>'Bal Sheet &amp; Cash Flow'!BK82</f>
        <v>0</v>
      </c>
      <c r="D99" s="259">
        <f>'Bal Sheet &amp; Cash Flow'!BL82</f>
        <v>9532.0091328211165</v>
      </c>
      <c r="E99" s="259">
        <f>'Bal Sheet &amp; Cash Flow'!BM82</f>
        <v>-70700.527452129958</v>
      </c>
      <c r="F99" s="259">
        <f>'Bal Sheet &amp; Cash Flow'!BN82</f>
        <v>-108467.69616405405</v>
      </c>
      <c r="G99" s="259">
        <f>'Bal Sheet &amp; Cash Flow'!BO82</f>
        <v>-104759.82619617309</v>
      </c>
      <c r="H99" s="259">
        <f>'Bal Sheet &amp; Cash Flow'!BP82</f>
        <v>-47782.216453503373</v>
      </c>
    </row>
    <row r="100" spans="2:8" hidden="1">
      <c r="B100" t="s">
        <v>501</v>
      </c>
      <c r="C100" s="259">
        <f>'Bal Sheet &amp; Cash Flow'!BK83</f>
        <v>0</v>
      </c>
      <c r="D100" s="259">
        <f>'Bal Sheet &amp; Cash Flow'!BL83</f>
        <v>1052.4679796633409</v>
      </c>
      <c r="E100" s="259">
        <f>'Bal Sheet &amp; Cash Flow'!BM83</f>
        <v>-75432.436101656887</v>
      </c>
      <c r="F100" s="259">
        <f>'Bal Sheet &amp; Cash Flow'!BN83</f>
        <v>-109742.5198404145</v>
      </c>
      <c r="G100" s="259">
        <f>'Bal Sheet &amp; Cash Flow'!BO83</f>
        <v>-102579.39944989615</v>
      </c>
      <c r="H100" s="259">
        <f>'Bal Sheet &amp; Cash Flow'!BP83</f>
        <v>-41945.891406414783</v>
      </c>
    </row>
    <row r="101" spans="2:8" ht="15.75" hidden="1">
      <c r="D101" s="385"/>
      <c r="E101" s="385"/>
    </row>
    <row r="103" spans="2:8">
      <c r="E103" s="288"/>
      <c r="F103" s="288"/>
      <c r="G103" s="288"/>
      <c r="H103" s="288"/>
    </row>
  </sheetData>
  <mergeCells count="15">
    <mergeCell ref="D36:H36"/>
    <mergeCell ref="D16:G16"/>
    <mergeCell ref="D17:G17"/>
    <mergeCell ref="D4:G4"/>
    <mergeCell ref="D5:G5"/>
    <mergeCell ref="D6:G6"/>
    <mergeCell ref="D7:G7"/>
    <mergeCell ref="D8:G8"/>
    <mergeCell ref="D9:G9"/>
    <mergeCell ref="D10:G10"/>
    <mergeCell ref="D11:G11"/>
    <mergeCell ref="D12:G12"/>
    <mergeCell ref="D13:G13"/>
    <mergeCell ref="D14:G14"/>
    <mergeCell ref="D15:G1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Spinner 1">
              <controlPr defaultSize="0" autoPict="0">
                <anchor moveWithCells="1" sizeWithCells="1">
                  <from>
                    <xdr:col>3</xdr:col>
                    <xdr:colOff>66675</xdr:colOff>
                    <xdr:row>28</xdr:row>
                    <xdr:rowOff>38100</xdr:rowOff>
                  </from>
                  <to>
                    <xdr:col>3</xdr:col>
                    <xdr:colOff>466725</xdr:colOff>
                    <xdr:row>28</xdr:row>
                    <xdr:rowOff>381000</xdr:rowOff>
                  </to>
                </anchor>
              </controlPr>
            </control>
          </mc:Choice>
        </mc:AlternateContent>
        <mc:AlternateContent xmlns:mc="http://schemas.openxmlformats.org/markup-compatibility/2006">
          <mc:Choice Requires="x14">
            <control shapeId="2050" r:id="rId5" name="Scroll Bar 2">
              <controlPr defaultSize="0" autoPict="0">
                <anchor moveWithCells="1">
                  <from>
                    <xdr:col>3</xdr:col>
                    <xdr:colOff>57150</xdr:colOff>
                    <xdr:row>39</xdr:row>
                    <xdr:rowOff>276225</xdr:rowOff>
                  </from>
                  <to>
                    <xdr:col>3</xdr:col>
                    <xdr:colOff>695325</xdr:colOff>
                    <xdr:row>39</xdr:row>
                    <xdr:rowOff>476250</xdr:rowOff>
                  </to>
                </anchor>
              </controlPr>
            </control>
          </mc:Choice>
        </mc:AlternateContent>
        <mc:AlternateContent xmlns:mc="http://schemas.openxmlformats.org/markup-compatibility/2006">
          <mc:Choice Requires="x14">
            <control shapeId="2052" r:id="rId6" name="Scroll Bar 4">
              <controlPr defaultSize="0" autoPict="0">
                <anchor moveWithCells="1">
                  <from>
                    <xdr:col>2</xdr:col>
                    <xdr:colOff>66675</xdr:colOff>
                    <xdr:row>39</xdr:row>
                    <xdr:rowOff>266700</xdr:rowOff>
                  </from>
                  <to>
                    <xdr:col>2</xdr:col>
                    <xdr:colOff>971550</xdr:colOff>
                    <xdr:row>39</xdr:row>
                    <xdr:rowOff>466725</xdr:rowOff>
                  </to>
                </anchor>
              </controlPr>
            </control>
          </mc:Choice>
        </mc:AlternateContent>
        <mc:AlternateContent xmlns:mc="http://schemas.openxmlformats.org/markup-compatibility/2006">
          <mc:Choice Requires="x14">
            <control shapeId="2053" r:id="rId7" name="Scroll Bar 5">
              <controlPr defaultSize="0" autoPict="0">
                <anchor moveWithCells="1">
                  <from>
                    <xdr:col>4</xdr:col>
                    <xdr:colOff>57150</xdr:colOff>
                    <xdr:row>39</xdr:row>
                    <xdr:rowOff>276225</xdr:rowOff>
                  </from>
                  <to>
                    <xdr:col>4</xdr:col>
                    <xdr:colOff>695325</xdr:colOff>
                    <xdr:row>39</xdr:row>
                    <xdr:rowOff>476250</xdr:rowOff>
                  </to>
                </anchor>
              </controlPr>
            </control>
          </mc:Choice>
        </mc:AlternateContent>
        <mc:AlternateContent xmlns:mc="http://schemas.openxmlformats.org/markup-compatibility/2006">
          <mc:Choice Requires="x14">
            <control shapeId="2054" r:id="rId8" name="Scroll Bar 6">
              <controlPr defaultSize="0" autoPict="0">
                <anchor moveWithCells="1">
                  <from>
                    <xdr:col>5</xdr:col>
                    <xdr:colOff>57150</xdr:colOff>
                    <xdr:row>39</xdr:row>
                    <xdr:rowOff>276225</xdr:rowOff>
                  </from>
                  <to>
                    <xdr:col>5</xdr:col>
                    <xdr:colOff>695325</xdr:colOff>
                    <xdr:row>39</xdr:row>
                    <xdr:rowOff>476250</xdr:rowOff>
                  </to>
                </anchor>
              </controlPr>
            </control>
          </mc:Choice>
        </mc:AlternateContent>
        <mc:AlternateContent xmlns:mc="http://schemas.openxmlformats.org/markup-compatibility/2006">
          <mc:Choice Requires="x14">
            <control shapeId="2055" r:id="rId9" name="Scroll Bar 7">
              <controlPr defaultSize="0" autoPict="0">
                <anchor moveWithCells="1">
                  <from>
                    <xdr:col>6</xdr:col>
                    <xdr:colOff>57150</xdr:colOff>
                    <xdr:row>39</xdr:row>
                    <xdr:rowOff>276225</xdr:rowOff>
                  </from>
                  <to>
                    <xdr:col>6</xdr:col>
                    <xdr:colOff>695325</xdr:colOff>
                    <xdr:row>39</xdr:row>
                    <xdr:rowOff>476250</xdr:rowOff>
                  </to>
                </anchor>
              </controlPr>
            </control>
          </mc:Choice>
        </mc:AlternateContent>
        <mc:AlternateContent xmlns:mc="http://schemas.openxmlformats.org/markup-compatibility/2006">
          <mc:Choice Requires="x14">
            <control shapeId="2056" r:id="rId10" name="Scroll Bar 8">
              <controlPr defaultSize="0" autoPict="0">
                <anchor moveWithCells="1">
                  <from>
                    <xdr:col>7</xdr:col>
                    <xdr:colOff>57150</xdr:colOff>
                    <xdr:row>39</xdr:row>
                    <xdr:rowOff>276225</xdr:rowOff>
                  </from>
                  <to>
                    <xdr:col>7</xdr:col>
                    <xdr:colOff>695325</xdr:colOff>
                    <xdr:row>39</xdr:row>
                    <xdr:rowOff>476250</xdr:rowOff>
                  </to>
                </anchor>
              </controlPr>
            </control>
          </mc:Choice>
        </mc:AlternateContent>
        <mc:AlternateContent xmlns:mc="http://schemas.openxmlformats.org/markup-compatibility/2006">
          <mc:Choice Requires="x14">
            <control shapeId="2057" r:id="rId11" name="Scroll Bar 9">
              <controlPr defaultSize="0" autoPict="0">
                <anchor moveWithCells="1">
                  <from>
                    <xdr:col>2</xdr:col>
                    <xdr:colOff>85725</xdr:colOff>
                    <xdr:row>37</xdr:row>
                    <xdr:rowOff>276225</xdr:rowOff>
                  </from>
                  <to>
                    <xdr:col>2</xdr:col>
                    <xdr:colOff>952500</xdr:colOff>
                    <xdr:row>37</xdr:row>
                    <xdr:rowOff>485775</xdr:rowOff>
                  </to>
                </anchor>
              </controlPr>
            </control>
          </mc:Choice>
        </mc:AlternateContent>
        <mc:AlternateContent xmlns:mc="http://schemas.openxmlformats.org/markup-compatibility/2006">
          <mc:Choice Requires="x14">
            <control shapeId="2059" r:id="rId12" name="Scroll Bar 11">
              <controlPr defaultSize="0" autoPict="0">
                <anchor moveWithCells="1">
                  <from>
                    <xdr:col>3</xdr:col>
                    <xdr:colOff>57150</xdr:colOff>
                    <xdr:row>37</xdr:row>
                    <xdr:rowOff>276225</xdr:rowOff>
                  </from>
                  <to>
                    <xdr:col>3</xdr:col>
                    <xdr:colOff>695325</xdr:colOff>
                    <xdr:row>37</xdr:row>
                    <xdr:rowOff>476250</xdr:rowOff>
                  </to>
                </anchor>
              </controlPr>
            </control>
          </mc:Choice>
        </mc:AlternateContent>
        <mc:AlternateContent xmlns:mc="http://schemas.openxmlformats.org/markup-compatibility/2006">
          <mc:Choice Requires="x14">
            <control shapeId="2060" r:id="rId13" name="Scroll Bar 12">
              <controlPr defaultSize="0" autoPict="0">
                <anchor moveWithCells="1">
                  <from>
                    <xdr:col>4</xdr:col>
                    <xdr:colOff>57150</xdr:colOff>
                    <xdr:row>37</xdr:row>
                    <xdr:rowOff>276225</xdr:rowOff>
                  </from>
                  <to>
                    <xdr:col>4</xdr:col>
                    <xdr:colOff>695325</xdr:colOff>
                    <xdr:row>37</xdr:row>
                    <xdr:rowOff>476250</xdr:rowOff>
                  </to>
                </anchor>
              </controlPr>
            </control>
          </mc:Choice>
        </mc:AlternateContent>
        <mc:AlternateContent xmlns:mc="http://schemas.openxmlformats.org/markup-compatibility/2006">
          <mc:Choice Requires="x14">
            <control shapeId="2061" r:id="rId14" name="Scroll Bar 13">
              <controlPr defaultSize="0" autoPict="0">
                <anchor moveWithCells="1">
                  <from>
                    <xdr:col>5</xdr:col>
                    <xdr:colOff>57150</xdr:colOff>
                    <xdr:row>37</xdr:row>
                    <xdr:rowOff>276225</xdr:rowOff>
                  </from>
                  <to>
                    <xdr:col>5</xdr:col>
                    <xdr:colOff>695325</xdr:colOff>
                    <xdr:row>37</xdr:row>
                    <xdr:rowOff>476250</xdr:rowOff>
                  </to>
                </anchor>
              </controlPr>
            </control>
          </mc:Choice>
        </mc:AlternateContent>
        <mc:AlternateContent xmlns:mc="http://schemas.openxmlformats.org/markup-compatibility/2006">
          <mc:Choice Requires="x14">
            <control shapeId="2062" r:id="rId15" name="Scroll Bar 14">
              <controlPr defaultSize="0" autoPict="0">
                <anchor moveWithCells="1">
                  <from>
                    <xdr:col>6</xdr:col>
                    <xdr:colOff>57150</xdr:colOff>
                    <xdr:row>37</xdr:row>
                    <xdr:rowOff>276225</xdr:rowOff>
                  </from>
                  <to>
                    <xdr:col>6</xdr:col>
                    <xdr:colOff>695325</xdr:colOff>
                    <xdr:row>37</xdr:row>
                    <xdr:rowOff>476250</xdr:rowOff>
                  </to>
                </anchor>
              </controlPr>
            </control>
          </mc:Choice>
        </mc:AlternateContent>
        <mc:AlternateContent xmlns:mc="http://schemas.openxmlformats.org/markup-compatibility/2006">
          <mc:Choice Requires="x14">
            <control shapeId="2063" r:id="rId16" name="Scroll Bar 15">
              <controlPr defaultSize="0" autoPict="0">
                <anchor moveWithCells="1">
                  <from>
                    <xdr:col>7</xdr:col>
                    <xdr:colOff>57150</xdr:colOff>
                    <xdr:row>37</xdr:row>
                    <xdr:rowOff>276225</xdr:rowOff>
                  </from>
                  <to>
                    <xdr:col>7</xdr:col>
                    <xdr:colOff>695325</xdr:colOff>
                    <xdr:row>37</xdr:row>
                    <xdr:rowOff>476250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tint="0.59999389629810485"/>
  </sheetPr>
  <dimension ref="A1:I59"/>
  <sheetViews>
    <sheetView zoomScaleNormal="100" workbookViewId="0">
      <pane xSplit="1" ySplit="1" topLeftCell="B2" activePane="bottomRight" state="frozen"/>
      <selection pane="topRight" activeCell="B1" sqref="B1"/>
      <selection pane="bottomLeft" activeCell="A2" sqref="A2"/>
      <selection pane="bottomRight" activeCell="I17" sqref="I17"/>
    </sheetView>
  </sheetViews>
  <sheetFormatPr defaultRowHeight="15"/>
  <cols>
    <col min="1" max="1" width="22.28515625" customWidth="1"/>
    <col min="2" max="2" width="11.140625" style="4" customWidth="1"/>
    <col min="3" max="3" width="10.5703125" style="4" customWidth="1"/>
    <col min="4" max="4" width="4.42578125" style="40" customWidth="1"/>
    <col min="5" max="5" width="58.28515625" customWidth="1"/>
    <col min="6" max="6" width="7.5703125" customWidth="1"/>
  </cols>
  <sheetData>
    <row r="1" spans="1:9" ht="21" customHeight="1">
      <c r="A1" s="112" t="s">
        <v>540</v>
      </c>
      <c r="B1" s="113"/>
      <c r="C1" s="113"/>
      <c r="D1" s="113"/>
      <c r="E1" s="114"/>
    </row>
    <row r="2" spans="1:9">
      <c r="A2" s="1"/>
      <c r="B2" s="3"/>
      <c r="C2" s="3"/>
      <c r="D2" s="38"/>
    </row>
    <row r="3" spans="1:9" s="2" customFormat="1">
      <c r="B3" s="115" t="s">
        <v>10</v>
      </c>
      <c r="C3" s="115" t="s">
        <v>9</v>
      </c>
      <c r="D3" s="116"/>
      <c r="E3" s="46" t="s">
        <v>28</v>
      </c>
    </row>
    <row r="4" spans="1:9" s="2" customFormat="1">
      <c r="B4" s="5"/>
      <c r="C4" s="5"/>
      <c r="D4" s="39"/>
    </row>
    <row r="5" spans="1:9">
      <c r="A5" s="1" t="s">
        <v>12</v>
      </c>
    </row>
    <row r="6" spans="1:9">
      <c r="A6" s="7" t="s">
        <v>14</v>
      </c>
      <c r="B6" s="105">
        <v>4000</v>
      </c>
      <c r="C6" s="118">
        <v>8500</v>
      </c>
      <c r="E6" t="s">
        <v>155</v>
      </c>
    </row>
    <row r="7" spans="1:9">
      <c r="A7" s="7" t="s">
        <v>0</v>
      </c>
      <c r="B7" s="105">
        <v>450</v>
      </c>
      <c r="C7" s="118">
        <v>15000</v>
      </c>
      <c r="D7" s="41"/>
      <c r="E7" t="s">
        <v>156</v>
      </c>
      <c r="F7" s="23" t="s">
        <v>162</v>
      </c>
      <c r="G7" s="23"/>
      <c r="H7" s="23"/>
      <c r="I7" s="23"/>
    </row>
    <row r="8" spans="1:9">
      <c r="A8" s="7" t="s">
        <v>11</v>
      </c>
      <c r="B8" s="105">
        <v>0</v>
      </c>
      <c r="C8" s="105">
        <f>15*500</f>
        <v>7500</v>
      </c>
      <c r="E8" t="s">
        <v>157</v>
      </c>
    </row>
    <row r="10" spans="1:9">
      <c r="A10" s="123"/>
      <c r="B10" s="105">
        <f>SUM(B6:B9)</f>
        <v>4450</v>
      </c>
      <c r="C10" s="105">
        <f>SUM(C6:C9)</f>
        <v>31000</v>
      </c>
    </row>
    <row r="11" spans="1:9">
      <c r="A11" s="1"/>
    </row>
    <row r="12" spans="1:9">
      <c r="A12" s="1" t="s">
        <v>1</v>
      </c>
    </row>
    <row r="13" spans="1:9">
      <c r="A13" s="7" t="s">
        <v>2</v>
      </c>
      <c r="B13" s="105"/>
      <c r="C13" s="119"/>
      <c r="D13" s="42"/>
      <c r="E13" s="29"/>
    </row>
    <row r="14" spans="1:9">
      <c r="A14" s="7" t="s">
        <v>3</v>
      </c>
      <c r="B14" s="105">
        <f>+'Data Entry'!D85/6*1.2+'Data Entry'!D86/24*1.2</f>
        <v>19250</v>
      </c>
      <c r="C14" s="105">
        <f>+'Data Entry'!D85/4*1.2+'Data Entry'!D86/24*1.2</f>
        <v>27750</v>
      </c>
      <c r="E14" s="29" t="s">
        <v>158</v>
      </c>
    </row>
    <row r="15" spans="1:9">
      <c r="A15" s="7" t="s">
        <v>79</v>
      </c>
      <c r="B15" s="105">
        <v>1000</v>
      </c>
      <c r="C15" s="105">
        <v>6000</v>
      </c>
      <c r="E15" s="29" t="s">
        <v>159</v>
      </c>
    </row>
    <row r="16" spans="1:9">
      <c r="A16" s="7" t="s">
        <v>25</v>
      </c>
      <c r="B16" s="105">
        <f>15*250</f>
        <v>3750</v>
      </c>
      <c r="C16" s="118">
        <f>15*500</f>
        <v>7500</v>
      </c>
      <c r="E16" s="29" t="s">
        <v>160</v>
      </c>
    </row>
    <row r="17" spans="1:6">
      <c r="A17" s="7" t="s">
        <v>108</v>
      </c>
      <c r="B17" s="105">
        <f>20*75</f>
        <v>1500</v>
      </c>
      <c r="C17" s="120">
        <f>20*100</f>
        <v>2000</v>
      </c>
      <c r="D17" s="43"/>
      <c r="E17" s="29" t="s">
        <v>161</v>
      </c>
    </row>
    <row r="18" spans="1:6">
      <c r="A18" s="7" t="s">
        <v>4</v>
      </c>
      <c r="B18" s="105">
        <v>250</v>
      </c>
      <c r="C18" s="119">
        <v>3000</v>
      </c>
      <c r="D18" s="42"/>
      <c r="E18" s="29" t="s">
        <v>164</v>
      </c>
      <c r="F18" s="23" t="s">
        <v>163</v>
      </c>
    </row>
    <row r="19" spans="1:6">
      <c r="A19" s="7" t="s">
        <v>5</v>
      </c>
      <c r="B19" s="105">
        <v>500</v>
      </c>
      <c r="C19" s="120">
        <v>5000</v>
      </c>
      <c r="D19" s="42"/>
      <c r="E19" t="s">
        <v>165</v>
      </c>
    </row>
    <row r="20" spans="1:6">
      <c r="A20" s="7" t="s">
        <v>15</v>
      </c>
      <c r="B20" s="105">
        <v>1000</v>
      </c>
      <c r="C20" s="120">
        <v>3500</v>
      </c>
      <c r="D20" s="43"/>
      <c r="F20" s="23" t="s">
        <v>166</v>
      </c>
    </row>
    <row r="21" spans="1:6">
      <c r="A21" s="7" t="s">
        <v>7</v>
      </c>
      <c r="B21" s="105">
        <v>1000</v>
      </c>
      <c r="C21" s="120">
        <v>5000</v>
      </c>
      <c r="D21" s="42"/>
    </row>
    <row r="22" spans="1:6">
      <c r="A22" s="7" t="s">
        <v>6</v>
      </c>
      <c r="B22" s="105">
        <v>0</v>
      </c>
      <c r="C22" s="119">
        <v>1000</v>
      </c>
      <c r="D22" s="42"/>
    </row>
    <row r="23" spans="1:6">
      <c r="A23" s="7" t="s">
        <v>8</v>
      </c>
      <c r="B23" s="105">
        <v>500</v>
      </c>
      <c r="C23" s="119">
        <v>1500</v>
      </c>
      <c r="D23" s="42"/>
    </row>
    <row r="24" spans="1:6">
      <c r="A24" s="7" t="s">
        <v>109</v>
      </c>
      <c r="B24" s="105">
        <v>1200</v>
      </c>
      <c r="C24" s="119">
        <v>5000</v>
      </c>
      <c r="D24" s="42"/>
    </row>
    <row r="25" spans="1:6">
      <c r="A25" s="7" t="s">
        <v>13</v>
      </c>
      <c r="B25" s="121"/>
      <c r="C25" s="121"/>
    </row>
    <row r="26" spans="1:6">
      <c r="A26" s="7" t="s">
        <v>168</v>
      </c>
      <c r="B26" s="122"/>
      <c r="C26" s="122"/>
      <c r="D26" s="42"/>
      <c r="E26" t="s">
        <v>169</v>
      </c>
    </row>
    <row r="27" spans="1:6">
      <c r="A27" s="7" t="s">
        <v>57</v>
      </c>
      <c r="B27" s="119">
        <f>+SUM(B13:B26)*$F$27</f>
        <v>1497.5</v>
      </c>
      <c r="C27" s="119">
        <f>+SUM(C13:C26)*$F$27</f>
        <v>3362.5</v>
      </c>
      <c r="D27" s="42"/>
      <c r="E27" s="29" t="s">
        <v>167</v>
      </c>
      <c r="F27" s="8">
        <v>0.05</v>
      </c>
    </row>
    <row r="28" spans="1:6">
      <c r="A28" s="7"/>
      <c r="B28" s="6"/>
      <c r="C28" s="6"/>
      <c r="D28" s="42"/>
      <c r="E28" s="29"/>
      <c r="F28" s="8"/>
    </row>
    <row r="29" spans="1:6">
      <c r="B29" s="105">
        <f>SUM(B13:B27)</f>
        <v>31447.5</v>
      </c>
      <c r="C29" s="105">
        <f>SUM(C13:C27)</f>
        <v>70612.5</v>
      </c>
    </row>
    <row r="30" spans="1:6">
      <c r="A30" s="7"/>
    </row>
    <row r="31" spans="1:6">
      <c r="A31" s="1" t="s">
        <v>110</v>
      </c>
      <c r="B31" s="105">
        <f>+B10+B29</f>
        <v>35897.5</v>
      </c>
      <c r="C31" s="105">
        <f>+C10+C29</f>
        <v>101612.5</v>
      </c>
    </row>
    <row r="32" spans="1:6">
      <c r="A32" s="1"/>
      <c r="B32" s="124"/>
      <c r="C32" s="124"/>
    </row>
    <row r="33" spans="1:5">
      <c r="A33" s="1" t="s">
        <v>171</v>
      </c>
      <c r="B33" s="105"/>
      <c r="C33" s="105"/>
      <c r="E33" s="29" t="s">
        <v>170</v>
      </c>
    </row>
    <row r="35" spans="1:5">
      <c r="A35" t="s">
        <v>172</v>
      </c>
      <c r="B35" s="105">
        <f>+B31+B33</f>
        <v>35897.5</v>
      </c>
      <c r="C35" s="105">
        <f>+C31+C33</f>
        <v>101612.5</v>
      </c>
    </row>
    <row r="36" spans="1:5">
      <c r="B36" s="124"/>
      <c r="C36" s="124"/>
    </row>
    <row r="38" spans="1:5">
      <c r="A38" s="9" t="s">
        <v>107</v>
      </c>
      <c r="B38" s="68"/>
      <c r="C38" s="68"/>
      <c r="D38" s="68"/>
    </row>
    <row r="39" spans="1:5">
      <c r="A39" t="s">
        <v>16</v>
      </c>
    </row>
    <row r="40" spans="1:5">
      <c r="A40" t="s">
        <v>17</v>
      </c>
      <c r="B40" s="4">
        <v>94000</v>
      </c>
      <c r="C40" s="4">
        <v>173000</v>
      </c>
      <c r="E40" t="s">
        <v>22</v>
      </c>
    </row>
    <row r="41" spans="1:5">
      <c r="A41" t="s">
        <v>19</v>
      </c>
      <c r="B41" s="4">
        <v>78000</v>
      </c>
      <c r="C41" s="4">
        <v>132000</v>
      </c>
      <c r="E41" t="s">
        <v>29</v>
      </c>
    </row>
    <row r="42" spans="1:5">
      <c r="A42" t="s">
        <v>18</v>
      </c>
      <c r="B42" s="4">
        <v>59000</v>
      </c>
      <c r="C42" s="4">
        <v>109000</v>
      </c>
      <c r="E42" t="s">
        <v>23</v>
      </c>
    </row>
    <row r="43" spans="1:5">
      <c r="A43" t="s">
        <v>24</v>
      </c>
    </row>
    <row r="55" spans="1:1">
      <c r="A55" t="s">
        <v>20</v>
      </c>
    </row>
    <row r="56" spans="1:1">
      <c r="A56" t="s">
        <v>21</v>
      </c>
    </row>
    <row r="58" spans="1:1">
      <c r="A58" t="s">
        <v>26</v>
      </c>
    </row>
    <row r="59" spans="1:1">
      <c r="A59" t="s">
        <v>27</v>
      </c>
    </row>
  </sheetData>
  <pageMargins left="0.7" right="0.7" top="0.75" bottom="0.75" header="0.3" footer="0.3"/>
  <pageSetup fitToWidth="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J12:K18"/>
  <sheetViews>
    <sheetView workbookViewId="0">
      <selection activeCell="J17" sqref="J17"/>
    </sheetView>
  </sheetViews>
  <sheetFormatPr defaultRowHeight="15"/>
  <sheetData>
    <row r="12" spans="10:11">
      <c r="J12">
        <v>2</v>
      </c>
    </row>
    <row r="13" spans="10:11">
      <c r="J13">
        <v>0.5</v>
      </c>
      <c r="K13">
        <f>J13+J12</f>
        <v>2.5</v>
      </c>
    </row>
    <row r="14" spans="10:11">
      <c r="J14">
        <v>2</v>
      </c>
      <c r="K14">
        <f>K13+J14</f>
        <v>4.5</v>
      </c>
    </row>
    <row r="15" spans="10:11">
      <c r="J15">
        <v>0.5</v>
      </c>
      <c r="K15">
        <f t="shared" ref="K15:K18" si="0">K14+J15</f>
        <v>5</v>
      </c>
    </row>
    <row r="16" spans="10:11">
      <c r="J16">
        <v>2</v>
      </c>
      <c r="K16">
        <f>K15+J16</f>
        <v>7</v>
      </c>
    </row>
    <row r="17" spans="10:11">
      <c r="J17">
        <v>0.5</v>
      </c>
      <c r="K17">
        <f t="shared" si="0"/>
        <v>7.5</v>
      </c>
    </row>
    <row r="18" spans="10:11">
      <c r="J18">
        <v>2.5</v>
      </c>
      <c r="K18">
        <f t="shared" si="0"/>
        <v>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99FF"/>
  </sheetPr>
  <dimension ref="A1:BP88"/>
  <sheetViews>
    <sheetView zoomScale="90" zoomScaleNormal="90" workbookViewId="0">
      <pane xSplit="1" ySplit="3" topLeftCell="BH4" activePane="bottomRight" state="frozen"/>
      <selection activeCell="BL5" sqref="BL5"/>
      <selection pane="topRight" activeCell="BL5" sqref="BL5"/>
      <selection pane="bottomLeft" activeCell="BL5" sqref="BL5"/>
      <selection pane="bottomRight" activeCell="BL5" sqref="BL5"/>
    </sheetView>
  </sheetViews>
  <sheetFormatPr defaultRowHeight="15"/>
  <cols>
    <col min="1" max="1" width="28.5703125" customWidth="1"/>
    <col min="2" max="2" width="11.28515625" bestFit="1" customWidth="1"/>
    <col min="3" max="3" width="11.5703125" bestFit="1" customWidth="1"/>
    <col min="4" max="14" width="12.7109375" bestFit="1" customWidth="1"/>
    <col min="16" max="16" width="13" bestFit="1" customWidth="1"/>
    <col min="44" max="67" width="10.140625" bestFit="1" customWidth="1"/>
    <col min="68" max="68" width="12.140625" bestFit="1" customWidth="1"/>
  </cols>
  <sheetData>
    <row r="1" spans="1:68" s="117" customFormat="1">
      <c r="C1" s="125"/>
      <c r="P1" s="162"/>
      <c r="Q1" s="136"/>
    </row>
    <row r="2" spans="1:68" s="117" customFormat="1">
      <c r="A2" s="75" t="s">
        <v>103</v>
      </c>
      <c r="B2" s="75"/>
      <c r="C2" s="76"/>
      <c r="D2" s="75"/>
      <c r="E2" s="75"/>
      <c r="F2" s="75"/>
      <c r="G2" s="75"/>
      <c r="H2" s="75"/>
      <c r="I2" s="75"/>
      <c r="J2" s="75"/>
      <c r="K2" s="75"/>
      <c r="L2" s="75"/>
      <c r="M2" s="75"/>
      <c r="N2" s="75"/>
      <c r="O2" s="75"/>
      <c r="P2" s="162"/>
      <c r="Q2" s="136"/>
    </row>
    <row r="3" spans="1:68">
      <c r="A3" s="11"/>
      <c r="B3" s="328" t="s">
        <v>353</v>
      </c>
      <c r="C3" s="12" t="s">
        <v>37</v>
      </c>
      <c r="D3" s="12" t="s">
        <v>38</v>
      </c>
      <c r="E3" s="12" t="s">
        <v>39</v>
      </c>
      <c r="F3" s="12" t="s">
        <v>40</v>
      </c>
      <c r="G3" s="12" t="s">
        <v>41</v>
      </c>
      <c r="H3" s="12" t="s">
        <v>42</v>
      </c>
      <c r="I3" s="12" t="s">
        <v>43</v>
      </c>
      <c r="J3" s="12" t="s">
        <v>44</v>
      </c>
      <c r="K3" s="12" t="s">
        <v>45</v>
      </c>
      <c r="L3" s="12" t="s">
        <v>46</v>
      </c>
      <c r="M3" s="12" t="s">
        <v>47</v>
      </c>
      <c r="N3" s="13" t="s">
        <v>48</v>
      </c>
      <c r="O3" s="13" t="s">
        <v>371</v>
      </c>
      <c r="P3" s="13" t="s">
        <v>372</v>
      </c>
      <c r="Q3" s="13" t="s">
        <v>373</v>
      </c>
      <c r="R3" s="13" t="s">
        <v>374</v>
      </c>
      <c r="S3" s="13" t="s">
        <v>375</v>
      </c>
      <c r="T3" s="13" t="s">
        <v>376</v>
      </c>
      <c r="U3" s="13" t="s">
        <v>377</v>
      </c>
      <c r="V3" s="13" t="s">
        <v>378</v>
      </c>
      <c r="W3" s="13" t="s">
        <v>379</v>
      </c>
      <c r="X3" s="13" t="s">
        <v>380</v>
      </c>
      <c r="Y3" s="13" t="s">
        <v>381</v>
      </c>
      <c r="Z3" s="13" t="s">
        <v>382</v>
      </c>
      <c r="AA3" s="13" t="s">
        <v>383</v>
      </c>
      <c r="AB3" s="13" t="s">
        <v>384</v>
      </c>
      <c r="AC3" s="13" t="s">
        <v>385</v>
      </c>
      <c r="AD3" s="13" t="s">
        <v>386</v>
      </c>
      <c r="AE3" s="13" t="s">
        <v>387</v>
      </c>
      <c r="AF3" s="13" t="s">
        <v>388</v>
      </c>
      <c r="AG3" s="13" t="s">
        <v>389</v>
      </c>
      <c r="AH3" s="13" t="s">
        <v>390</v>
      </c>
      <c r="AI3" s="13" t="s">
        <v>391</v>
      </c>
      <c r="AJ3" s="13" t="s">
        <v>392</v>
      </c>
      <c r="AK3" s="13" t="s">
        <v>393</v>
      </c>
      <c r="AL3" s="13" t="s">
        <v>394</v>
      </c>
      <c r="AM3" s="13" t="s">
        <v>395</v>
      </c>
      <c r="AN3" s="13" t="s">
        <v>396</v>
      </c>
      <c r="AO3" s="13" t="s">
        <v>397</v>
      </c>
      <c r="AP3" s="13" t="s">
        <v>398</v>
      </c>
      <c r="AQ3" s="13" t="s">
        <v>399</v>
      </c>
      <c r="AR3" s="13" t="s">
        <v>400</v>
      </c>
      <c r="AS3" s="13" t="s">
        <v>401</v>
      </c>
      <c r="AT3" s="13" t="s">
        <v>402</v>
      </c>
      <c r="AU3" s="13" t="s">
        <v>403</v>
      </c>
      <c r="AV3" s="13" t="s">
        <v>404</v>
      </c>
      <c r="AW3" s="13" t="s">
        <v>405</v>
      </c>
      <c r="AX3" s="13" t="s">
        <v>406</v>
      </c>
      <c r="AY3" s="13" t="s">
        <v>407</v>
      </c>
      <c r="AZ3" s="13" t="s">
        <v>408</v>
      </c>
      <c r="BA3" s="13" t="s">
        <v>409</v>
      </c>
      <c r="BB3" s="13" t="s">
        <v>410</v>
      </c>
      <c r="BC3" s="13" t="s">
        <v>411</v>
      </c>
      <c r="BD3" s="13" t="s">
        <v>412</v>
      </c>
      <c r="BE3" s="13" t="s">
        <v>413</v>
      </c>
      <c r="BF3" s="13" t="s">
        <v>414</v>
      </c>
      <c r="BG3" s="13" t="s">
        <v>415</v>
      </c>
      <c r="BH3" s="13" t="s">
        <v>416</v>
      </c>
      <c r="BI3" s="13" t="s">
        <v>417</v>
      </c>
      <c r="BJ3" s="13" t="s">
        <v>418</v>
      </c>
      <c r="BK3" s="13" t="s">
        <v>503</v>
      </c>
      <c r="BL3" s="13" t="s">
        <v>31</v>
      </c>
      <c r="BM3" s="13" t="s">
        <v>32</v>
      </c>
      <c r="BN3" s="13" t="s">
        <v>33</v>
      </c>
      <c r="BO3" s="13" t="s">
        <v>502</v>
      </c>
      <c r="BP3" s="13" t="s">
        <v>35</v>
      </c>
    </row>
    <row r="4" spans="1:68">
      <c r="A4" s="70"/>
      <c r="B4" s="70"/>
    </row>
    <row r="5" spans="1:68">
      <c r="A5" s="170" t="s">
        <v>111</v>
      </c>
      <c r="B5" s="170">
        <f>B42-B6-B7-B8-B15-B20</f>
        <v>195765.96360390575</v>
      </c>
      <c r="C5" s="255">
        <f>C83</f>
        <v>130760.04646950167</v>
      </c>
      <c r="D5" s="255">
        <f t="shared" ref="D5:N5" si="0">D83</f>
        <v>98083.157410512911</v>
      </c>
      <c r="E5" s="255">
        <f t="shared" si="0"/>
        <v>87230.594176939427</v>
      </c>
      <c r="F5" s="255">
        <f t="shared" si="0"/>
        <v>76768.856768781232</v>
      </c>
      <c r="G5" s="255">
        <f t="shared" si="0"/>
        <v>66697.945186038312</v>
      </c>
      <c r="H5" s="255">
        <f t="shared" si="0"/>
        <v>57017.859428710733</v>
      </c>
      <c r="I5" s="255">
        <f t="shared" si="0"/>
        <v>46842.270098852707</v>
      </c>
      <c r="J5" s="255">
        <f t="shared" si="0"/>
        <v>37005.890404334728</v>
      </c>
      <c r="K5" s="255">
        <f t="shared" si="0"/>
        <v>27508.720345156791</v>
      </c>
      <c r="L5" s="255">
        <f t="shared" si="0"/>
        <v>18350.759921318924</v>
      </c>
      <c r="M5" s="255">
        <f t="shared" si="0"/>
        <v>9532.0091328211165</v>
      </c>
      <c r="N5" s="255">
        <f t="shared" si="0"/>
        <v>1052.4679796633409</v>
      </c>
      <c r="O5" s="255">
        <f t="shared" ref="O5:BJ5" si="1">O83</f>
        <v>-7087.8635381543627</v>
      </c>
      <c r="P5" s="255">
        <f t="shared" si="1"/>
        <v>-14888.985420632009</v>
      </c>
      <c r="Q5" s="255">
        <f t="shared" si="1"/>
        <v>-22350.897667769597</v>
      </c>
      <c r="R5" s="255">
        <f t="shared" si="1"/>
        <v>-29473.600279567152</v>
      </c>
      <c r="S5" s="255">
        <f t="shared" si="1"/>
        <v>-36257.093256024644</v>
      </c>
      <c r="T5" s="255">
        <f t="shared" si="1"/>
        <v>-42718.198796907142</v>
      </c>
      <c r="U5" s="255">
        <f t="shared" si="1"/>
        <v>-48891.075408161501</v>
      </c>
      <c r="V5" s="255">
        <f t="shared" si="1"/>
        <v>-54775.734790583534</v>
      </c>
      <c r="W5" s="255">
        <f t="shared" si="1"/>
        <v>-60372.18870347301</v>
      </c>
      <c r="X5" s="255">
        <f t="shared" si="1"/>
        <v>-65680.448964926225</v>
      </c>
      <c r="Y5" s="255">
        <f t="shared" si="1"/>
        <v>-70700.527452129958</v>
      </c>
      <c r="Z5" s="255">
        <f t="shared" si="1"/>
        <v>-75432.436101656887</v>
      </c>
      <c r="AA5" s="255">
        <f t="shared" si="1"/>
        <v>-79876.186909762575</v>
      </c>
      <c r="AB5" s="255">
        <f t="shared" si="1"/>
        <v>-84031.791932683846</v>
      </c>
      <c r="AC5" s="255">
        <f t="shared" si="1"/>
        <v>-87899.263286938745</v>
      </c>
      <c r="AD5" s="255">
        <f t="shared" si="1"/>
        <v>-91478.613149627912</v>
      </c>
      <c r="AE5" s="255">
        <f t="shared" si="1"/>
        <v>-94769.853758737416</v>
      </c>
      <c r="AF5" s="255">
        <f t="shared" si="1"/>
        <v>-97772.997413443314</v>
      </c>
      <c r="AG5" s="255">
        <f t="shared" si="1"/>
        <v>-100488.05647441754</v>
      </c>
      <c r="AH5" s="255">
        <f t="shared" si="1"/>
        <v>-102915.04336413537</v>
      </c>
      <c r="AI5" s="255">
        <f t="shared" si="1"/>
        <v>-105053.9705671845</v>
      </c>
      <c r="AJ5" s="255">
        <f t="shared" si="1"/>
        <v>-106904.85063057551</v>
      </c>
      <c r="AK5" s="255">
        <f t="shared" si="1"/>
        <v>-108467.69616405405</v>
      </c>
      <c r="AL5" s="255">
        <f t="shared" si="1"/>
        <v>-109742.5198404145</v>
      </c>
      <c r="AM5" s="255">
        <f t="shared" si="1"/>
        <v>-110729.33439581524</v>
      </c>
      <c r="AN5" s="255">
        <f t="shared" si="1"/>
        <v>-111428.15263009538</v>
      </c>
      <c r="AO5" s="255">
        <f t="shared" si="1"/>
        <v>-111838.98740709329</v>
      </c>
      <c r="AP5" s="255">
        <f t="shared" si="1"/>
        <v>-111961.85165496649</v>
      </c>
      <c r="AQ5" s="255">
        <f t="shared" si="1"/>
        <v>-111796.7583665133</v>
      </c>
      <c r="AR5" s="255">
        <f t="shared" si="1"/>
        <v>-111343.72059949604</v>
      </c>
      <c r="AS5" s="255">
        <f t="shared" si="1"/>
        <v>-110602.75147696583</v>
      </c>
      <c r="AT5" s="255">
        <f t="shared" si="1"/>
        <v>-109573.86418758906</v>
      </c>
      <c r="AU5" s="255">
        <f t="shared" si="1"/>
        <v>-108257.07198597543</v>
      </c>
      <c r="AV5" s="255">
        <f t="shared" si="1"/>
        <v>-106652.38819300772</v>
      </c>
      <c r="AW5" s="255">
        <f t="shared" si="1"/>
        <v>-104759.82619617309</v>
      </c>
      <c r="AX5" s="255">
        <f t="shared" si="1"/>
        <v>-102579.39944989615</v>
      </c>
      <c r="AY5" s="255">
        <f t="shared" si="1"/>
        <v>-98310.395907768165</v>
      </c>
      <c r="AZ5" s="255">
        <f t="shared" si="1"/>
        <v>-93898.839271594348</v>
      </c>
      <c r="BA5" s="255">
        <f t="shared" si="1"/>
        <v>-89344.743198626442</v>
      </c>
      <c r="BB5" s="255">
        <f t="shared" si="1"/>
        <v>-84648.121414402442</v>
      </c>
      <c r="BC5" s="255">
        <f t="shared" si="1"/>
        <v>-79808.987713088063</v>
      </c>
      <c r="BD5" s="255">
        <f t="shared" si="1"/>
        <v>-74827.355957819804</v>
      </c>
      <c r="BE5" s="255">
        <f t="shared" si="1"/>
        <v>-69703.24008104988</v>
      </c>
      <c r="BF5" s="255">
        <f t="shared" si="1"/>
        <v>-64436.654084892732</v>
      </c>
      <c r="BG5" s="255">
        <f t="shared" si="1"/>
        <v>-59027.612041473418</v>
      </c>
      <c r="BH5" s="255">
        <f t="shared" si="1"/>
        <v>-53476.128093277614</v>
      </c>
      <c r="BI5" s="255">
        <f t="shared" si="1"/>
        <v>-47782.216453503373</v>
      </c>
      <c r="BJ5" s="255">
        <f t="shared" si="1"/>
        <v>-41945.891406414783</v>
      </c>
      <c r="BK5" s="255">
        <f>B5</f>
        <v>195765.96360390575</v>
      </c>
      <c r="BL5" s="255">
        <f>N5</f>
        <v>1052.4679796633409</v>
      </c>
      <c r="BM5" s="255">
        <f>Z5</f>
        <v>-75432.436101656887</v>
      </c>
      <c r="BN5" s="255">
        <f>AL5</f>
        <v>-109742.5198404145</v>
      </c>
      <c r="BO5" s="255">
        <f>AX5</f>
        <v>-102579.39944989615</v>
      </c>
      <c r="BP5" s="255">
        <f>BJ5</f>
        <v>-41945.891406414783</v>
      </c>
    </row>
    <row r="6" spans="1:68">
      <c r="A6" s="170" t="s">
        <v>174</v>
      </c>
      <c r="B6" s="289">
        <v>0</v>
      </c>
      <c r="C6" s="259">
        <f>IF('Data Entry'!D95&gt;30,'Income Statement Projections'!B36,'Income Statement Projections'!B36/30*('Data Entry'!$D$95))</f>
        <v>21433.5</v>
      </c>
      <c r="D6" s="259">
        <f>IF('Data Entry'!D95&gt;60,SUM('Income Statement Projections'!B36:C36),'Income Statement Projections'!C36/30*('Data Entry'!$D$95))</f>
        <v>46764</v>
      </c>
      <c r="E6" s="259">
        <f>IF('Data Entry'!D95&gt;90,SUM('Income Statement Projections'!B36:D36),'Income Statement Projections'!D36/30*('Data Entry'!$D$95))</f>
        <v>50661</v>
      </c>
      <c r="F6" s="259">
        <f>'Income Statement Projections'!E36/30*('Data Entry'!$D$95)</f>
        <v>54558</v>
      </c>
      <c r="G6" s="259">
        <f>'Income Statement Projections'!F36/30*('Data Entry'!$D$95)</f>
        <v>58455</v>
      </c>
      <c r="H6" s="259">
        <f>'Income Statement Projections'!G36/30*('Data Entry'!$D$95)</f>
        <v>62352</v>
      </c>
      <c r="I6" s="259">
        <f>'Income Statement Projections'!H36/30*('Data Entry'!$D$95)</f>
        <v>66249</v>
      </c>
      <c r="J6" s="259">
        <f>'Income Statement Projections'!I36/30*('Data Entry'!$D$95)</f>
        <v>70146</v>
      </c>
      <c r="K6" s="259">
        <f>'Income Statement Projections'!J36/30*('Data Entry'!$D$95)</f>
        <v>74043</v>
      </c>
      <c r="L6" s="259">
        <f>'Income Statement Projections'!K36/30*('Data Entry'!$D$95)</f>
        <v>77940</v>
      </c>
      <c r="M6" s="259">
        <f>'Income Statement Projections'!L36/30*('Data Entry'!$D$95)</f>
        <v>81837</v>
      </c>
      <c r="N6" s="259">
        <f>'Income Statement Projections'!M36/30*('Data Entry'!$D$95)</f>
        <v>85734</v>
      </c>
      <c r="O6" s="259">
        <f>'Income Statement Projections'!N36/30*('Data Entry'!$D$95)</f>
        <v>89631</v>
      </c>
      <c r="P6" s="259">
        <f>'Income Statement Projections'!O36/30*('Data Entry'!$D$95)</f>
        <v>93528</v>
      </c>
      <c r="Q6" s="259">
        <f>'Income Statement Projections'!P36/30*('Data Entry'!$D$95)</f>
        <v>97425</v>
      </c>
      <c r="R6" s="259">
        <f>'Income Statement Projections'!Q36/30*('Data Entry'!$D$95)</f>
        <v>101322</v>
      </c>
      <c r="S6" s="259">
        <f>'Income Statement Projections'!R36/30*('Data Entry'!$D$95)</f>
        <v>105219</v>
      </c>
      <c r="T6" s="259">
        <f>'Income Statement Projections'!S36/30*('Data Entry'!$D$95)</f>
        <v>109116</v>
      </c>
      <c r="U6" s="259">
        <f>'Income Statement Projections'!T36/30*('Data Entry'!$D$95)</f>
        <v>113013</v>
      </c>
      <c r="V6" s="259">
        <f>'Income Statement Projections'!U36/30*('Data Entry'!$D$95)</f>
        <v>116910</v>
      </c>
      <c r="W6" s="259">
        <f>'Income Statement Projections'!V36/30*('Data Entry'!$D$95)</f>
        <v>120807</v>
      </c>
      <c r="X6" s="259">
        <f>'Income Statement Projections'!W36/30*('Data Entry'!$D$95)</f>
        <v>124704</v>
      </c>
      <c r="Y6" s="259">
        <f>'Income Statement Projections'!X36/30*('Data Entry'!$D$95)</f>
        <v>128601</v>
      </c>
      <c r="Z6" s="259">
        <f>'Income Statement Projections'!Y36/30*('Data Entry'!$D$95)</f>
        <v>132498</v>
      </c>
      <c r="AA6" s="259">
        <f>'Income Statement Projections'!Z36/30*('Data Entry'!$D$95)</f>
        <v>136395</v>
      </c>
      <c r="AB6" s="259">
        <f>'Income Statement Projections'!AA36/30*('Data Entry'!$D$95)</f>
        <v>140292</v>
      </c>
      <c r="AC6" s="259">
        <f>'Income Statement Projections'!AB36/30*('Data Entry'!$D$95)</f>
        <v>144189</v>
      </c>
      <c r="AD6" s="259">
        <f>'Income Statement Projections'!AC36/30*('Data Entry'!$D$95)</f>
        <v>148086</v>
      </c>
      <c r="AE6" s="259">
        <f>'Income Statement Projections'!AD36/30*('Data Entry'!$D$95)</f>
        <v>151983</v>
      </c>
      <c r="AF6" s="259">
        <f>'Income Statement Projections'!AE36/30*('Data Entry'!$D$95)</f>
        <v>155880</v>
      </c>
      <c r="AG6" s="259">
        <f>'Income Statement Projections'!AF36/30*('Data Entry'!$D$95)</f>
        <v>159777</v>
      </c>
      <c r="AH6" s="259">
        <f>'Income Statement Projections'!AG36/30*('Data Entry'!$D$95)</f>
        <v>163674</v>
      </c>
      <c r="AI6" s="259">
        <f>'Income Statement Projections'!AH36/30*('Data Entry'!$D$95)</f>
        <v>167571</v>
      </c>
      <c r="AJ6" s="259">
        <f>'Income Statement Projections'!AI36/30*('Data Entry'!$D$95)</f>
        <v>171468</v>
      </c>
      <c r="AK6" s="259">
        <f>'Income Statement Projections'!AJ36/30*('Data Entry'!$D$95)</f>
        <v>175365</v>
      </c>
      <c r="AL6" s="259">
        <f>'Income Statement Projections'!AK36/30*('Data Entry'!$D$95)</f>
        <v>179262</v>
      </c>
      <c r="AM6" s="259">
        <f>'Income Statement Projections'!AL36/30*('Data Entry'!$D$95)</f>
        <v>183159</v>
      </c>
      <c r="AN6" s="259">
        <f>'Income Statement Projections'!AM36/30*('Data Entry'!$D$95)</f>
        <v>187056</v>
      </c>
      <c r="AO6" s="259">
        <f>'Income Statement Projections'!AN36/30*('Data Entry'!$D$95)</f>
        <v>190953</v>
      </c>
      <c r="AP6" s="259">
        <f>'Income Statement Projections'!AO36/30*('Data Entry'!$D$95)</f>
        <v>194850</v>
      </c>
      <c r="AQ6" s="259">
        <f>'Income Statement Projections'!AP36/30*('Data Entry'!$D$95)</f>
        <v>198747</v>
      </c>
      <c r="AR6" s="259">
        <f>'Income Statement Projections'!AQ36/30*('Data Entry'!$D$95)</f>
        <v>202644</v>
      </c>
      <c r="AS6" s="259">
        <f>'Income Statement Projections'!AR36/30*('Data Entry'!$D$95)</f>
        <v>206541</v>
      </c>
      <c r="AT6" s="259">
        <f>'Income Statement Projections'!AS36/30*('Data Entry'!$D$95)</f>
        <v>210438</v>
      </c>
      <c r="AU6" s="259">
        <f>'Income Statement Projections'!AT36/30*('Data Entry'!$D$95)</f>
        <v>214335</v>
      </c>
      <c r="AV6" s="259">
        <f>'Income Statement Projections'!AU36/30*('Data Entry'!$D$95)</f>
        <v>218232</v>
      </c>
      <c r="AW6" s="259">
        <f>'Income Statement Projections'!AV36/30*('Data Entry'!$D$95)</f>
        <v>222129</v>
      </c>
      <c r="AX6" s="259">
        <f>'Income Statement Projections'!AW36/30*('Data Entry'!$D$95)</f>
        <v>226026</v>
      </c>
      <c r="AY6" s="259">
        <f>'Income Statement Projections'!AX36/30*('Data Entry'!$D$95)</f>
        <v>227974.5</v>
      </c>
      <c r="AZ6" s="259">
        <f>'Income Statement Projections'!AY36/30*('Data Entry'!$D$95)</f>
        <v>229923</v>
      </c>
      <c r="BA6" s="259">
        <f>'Income Statement Projections'!AZ36/30*('Data Entry'!$D$95)</f>
        <v>231871.5</v>
      </c>
      <c r="BB6" s="259">
        <f>'Income Statement Projections'!BA36/30*('Data Entry'!$D$95)</f>
        <v>233820</v>
      </c>
      <c r="BC6" s="259">
        <f>'Income Statement Projections'!BB36/30*('Data Entry'!$D$95)</f>
        <v>235768.5</v>
      </c>
      <c r="BD6" s="259">
        <f>'Income Statement Projections'!BC36/30*('Data Entry'!$D$95)</f>
        <v>237717</v>
      </c>
      <c r="BE6" s="259">
        <f>'Income Statement Projections'!BD36/30*('Data Entry'!$D$95)</f>
        <v>239665.5</v>
      </c>
      <c r="BF6" s="259">
        <f>'Income Statement Projections'!BE36/30*('Data Entry'!$D$95)</f>
        <v>241614</v>
      </c>
      <c r="BG6" s="259">
        <f>'Income Statement Projections'!BF36/30*('Data Entry'!$D$95)</f>
        <v>243562.5</v>
      </c>
      <c r="BH6" s="259">
        <f>'Income Statement Projections'!BG36/30*('Data Entry'!$D$95)</f>
        <v>245511</v>
      </c>
      <c r="BI6" s="259">
        <f>'Income Statement Projections'!BH36/30*('Data Entry'!$D$95)</f>
        <v>247459.5</v>
      </c>
      <c r="BJ6" s="259">
        <f>'Income Statement Projections'!BI36/30*('Data Entry'!$D$95)</f>
        <v>249408</v>
      </c>
      <c r="BK6" s="259">
        <f t="shared" ref="BK6:BK67" si="2">B6</f>
        <v>0</v>
      </c>
      <c r="BL6" s="259">
        <f t="shared" ref="BL6:BL67" si="3">N6</f>
        <v>85734</v>
      </c>
      <c r="BM6" s="259">
        <f t="shared" ref="BM6:BM67" si="4">Z6</f>
        <v>132498</v>
      </c>
      <c r="BN6" s="259">
        <f t="shared" ref="BN6:BN67" si="5">AL6</f>
        <v>179262</v>
      </c>
      <c r="BO6" s="259">
        <f t="shared" ref="BO6:BO67" si="6">AX6</f>
        <v>226026</v>
      </c>
      <c r="BP6" s="259">
        <f t="shared" ref="BP6:BP67" si="7">BJ6</f>
        <v>249408</v>
      </c>
    </row>
    <row r="7" spans="1:68">
      <c r="A7" s="172" t="s">
        <v>175</v>
      </c>
      <c r="B7" s="290">
        <f>SUM('Income Statement Projections'!B123:G123)</f>
        <v>4234.0363960942341</v>
      </c>
      <c r="C7" s="259">
        <f>IF(B7-'Income Statement Projections'!B123&lt;0,0,B7-'Income Statement Projections'!B123)</f>
        <v>3657.4041385999553</v>
      </c>
      <c r="D7" s="259">
        <f>IF(C7-'Income Statement Projections'!C123&lt;0,0,C7-'Income Statement Projections'!C123)</f>
        <v>3029.1556910304394</v>
      </c>
      <c r="E7" s="259">
        <f>IF(D7-'Income Statement Projections'!D123&lt;0,0,D7-'Income Statement Projections'!D123)</f>
        <v>2349.2910533856857</v>
      </c>
      <c r="F7" s="259">
        <f>IF(E7-'Income Statement Projections'!E123&lt;0,0,E7-'Income Statement Projections'!E123)</f>
        <v>1617.8102256656946</v>
      </c>
      <c r="G7" s="259">
        <f>IF(F7-'Income Statement Projections'!F123&lt;0,0,F7-'Income Statement Projections'!F123)</f>
        <v>834.71320787046614</v>
      </c>
      <c r="H7" s="259">
        <f>IF(G7-'Income Statement Projections'!G123&lt;0,0,G7-'Income Statement Projections'!G123)</f>
        <v>1.1368683772161603E-13</v>
      </c>
      <c r="I7" s="259">
        <f>IF(H7-'Income Statement Projections'!H123&lt;0,0,H7-'Income Statement Projections'!H123)</f>
        <v>0</v>
      </c>
      <c r="J7" s="259">
        <f>IF(I7-'Income Statement Projections'!I123&lt;0,0,I7-'Income Statement Projections'!I123)</f>
        <v>0</v>
      </c>
      <c r="K7" s="259">
        <f>IF(J7-'Income Statement Projections'!J123&lt;0,0,J7-'Income Statement Projections'!J123)</f>
        <v>0</v>
      </c>
      <c r="L7" s="259">
        <f>IF(K7-'Income Statement Projections'!K123&lt;0,0,K7-'Income Statement Projections'!K123)</f>
        <v>0</v>
      </c>
      <c r="M7" s="259">
        <f>IF(L7-'Income Statement Projections'!L123&lt;0,0,L7-'Income Statement Projections'!L123)</f>
        <v>0</v>
      </c>
      <c r="N7" s="259">
        <f>IF(M7-'Income Statement Projections'!M123&lt;0,0,M7-'Income Statement Projections'!M123)</f>
        <v>0</v>
      </c>
      <c r="O7" s="259">
        <f>IF(N7-'Income Statement Projections'!N123&lt;0,0,N7-'Income Statement Projections'!N123)</f>
        <v>0</v>
      </c>
      <c r="P7" s="259">
        <f>IF(O7-'Income Statement Projections'!O123&lt;0,0,O7-'Income Statement Projections'!O123)</f>
        <v>0</v>
      </c>
      <c r="Q7" s="259">
        <f>IF(P7-'Income Statement Projections'!P123&lt;0,0,P7-'Income Statement Projections'!P123)</f>
        <v>0</v>
      </c>
      <c r="R7" s="259">
        <f>IF(Q7-'Income Statement Projections'!Q123&lt;0,0,Q7-'Income Statement Projections'!Q123)</f>
        <v>0</v>
      </c>
      <c r="S7" s="259">
        <f>IF(R7-'Income Statement Projections'!R123&lt;0,0,R7-'Income Statement Projections'!R123)</f>
        <v>0</v>
      </c>
      <c r="T7" s="259">
        <f>IF(S7-'Income Statement Projections'!S123&lt;0,0,S7-'Income Statement Projections'!S123)</f>
        <v>0</v>
      </c>
      <c r="U7" s="259">
        <f>IF(T7-'Income Statement Projections'!T123&lt;0,0,T7-'Income Statement Projections'!T123)</f>
        <v>0</v>
      </c>
      <c r="V7" s="259">
        <f>IF(U7-'Income Statement Projections'!U123&lt;0,0,U7-'Income Statement Projections'!U123)</f>
        <v>0</v>
      </c>
      <c r="W7" s="259">
        <f>IF(V7-'Income Statement Projections'!V123&lt;0,0,V7-'Income Statement Projections'!V123)</f>
        <v>0</v>
      </c>
      <c r="X7" s="259">
        <f>IF(W7-'Income Statement Projections'!W123&lt;0,0,W7-'Income Statement Projections'!W123)</f>
        <v>0</v>
      </c>
      <c r="Y7" s="259">
        <f>IF(X7-'Income Statement Projections'!X123&lt;0,0,X7-'Income Statement Projections'!X123)</f>
        <v>0</v>
      </c>
      <c r="Z7" s="259">
        <f>IF(Y7-'Income Statement Projections'!Y123&lt;0,0,Y7-'Income Statement Projections'!Y123)</f>
        <v>0</v>
      </c>
      <c r="AA7" s="259">
        <f>IF(Z7-'Income Statement Projections'!Z123&lt;0,0,Z7-'Income Statement Projections'!Z123)</f>
        <v>0</v>
      </c>
      <c r="AB7" s="259">
        <f>IF(AA7-'Income Statement Projections'!AA123&lt;0,0,AA7-'Income Statement Projections'!AA123)</f>
        <v>0</v>
      </c>
      <c r="AC7" s="259">
        <f>IF(AB7-'Income Statement Projections'!AB123&lt;0,0,AB7-'Income Statement Projections'!AB123)</f>
        <v>0</v>
      </c>
      <c r="AD7" s="259">
        <f>IF(AC7-'Income Statement Projections'!AC123&lt;0,0,AC7-'Income Statement Projections'!AC123)</f>
        <v>0</v>
      </c>
      <c r="AE7" s="259">
        <f>IF(AD7-'Income Statement Projections'!AD123&lt;0,0,AD7-'Income Statement Projections'!AD123)</f>
        <v>0</v>
      </c>
      <c r="AF7" s="259">
        <f>IF(AE7-'Income Statement Projections'!AE123&lt;0,0,AE7-'Income Statement Projections'!AE123)</f>
        <v>0</v>
      </c>
      <c r="AG7" s="259">
        <f>IF(AF7-'Income Statement Projections'!AF123&lt;0,0,AF7-'Income Statement Projections'!AF123)</f>
        <v>0</v>
      </c>
      <c r="AH7" s="259">
        <f>IF(AG7-'Income Statement Projections'!AG123&lt;0,0,AG7-'Income Statement Projections'!AG123)</f>
        <v>0</v>
      </c>
      <c r="AI7" s="259">
        <f>IF(AH7-'Income Statement Projections'!AH123&lt;0,0,AH7-'Income Statement Projections'!AH123)</f>
        <v>0</v>
      </c>
      <c r="AJ7" s="259">
        <f>IF(AI7-'Income Statement Projections'!AI123&lt;0,0,AI7-'Income Statement Projections'!AI123)</f>
        <v>0</v>
      </c>
      <c r="AK7" s="259">
        <f>IF(AJ7-'Income Statement Projections'!AJ123&lt;0,0,AJ7-'Income Statement Projections'!AJ123)</f>
        <v>0</v>
      </c>
      <c r="AL7" s="259">
        <f>IF(AK7-'Income Statement Projections'!AK123&lt;0,0,AK7-'Income Statement Projections'!AK123)</f>
        <v>0</v>
      </c>
      <c r="AM7" s="259">
        <f>IF(AL7-'Income Statement Projections'!AL123&lt;0,0,AL7-'Income Statement Projections'!AL123)</f>
        <v>0</v>
      </c>
      <c r="AN7" s="259">
        <f>IF(AM7-'Income Statement Projections'!AM123&lt;0,0,AM7-'Income Statement Projections'!AM123)</f>
        <v>0</v>
      </c>
      <c r="AO7" s="259">
        <f>IF(AN7-'Income Statement Projections'!AN123&lt;0,0,AN7-'Income Statement Projections'!AN123)</f>
        <v>0</v>
      </c>
      <c r="AP7" s="259">
        <f>IF(AO7-'Income Statement Projections'!AO123&lt;0,0,AO7-'Income Statement Projections'!AO123)</f>
        <v>0</v>
      </c>
      <c r="AQ7" s="259">
        <f>IF(AP7-'Income Statement Projections'!AP123&lt;0,0,AP7-'Income Statement Projections'!AP123)</f>
        <v>0</v>
      </c>
      <c r="AR7" s="259">
        <f>IF(AQ7-'Income Statement Projections'!AQ123&lt;0,0,AQ7-'Income Statement Projections'!AQ123)</f>
        <v>0</v>
      </c>
      <c r="AS7" s="259">
        <f>IF(AR7-'Income Statement Projections'!AR123&lt;0,0,AR7-'Income Statement Projections'!AR123)</f>
        <v>0</v>
      </c>
      <c r="AT7" s="259">
        <f>IF(AS7-'Income Statement Projections'!AS123&lt;0,0,AS7-'Income Statement Projections'!AS123)</f>
        <v>0</v>
      </c>
      <c r="AU7" s="259">
        <f>IF(AT7-'Income Statement Projections'!AT123&lt;0,0,AT7-'Income Statement Projections'!AT123)</f>
        <v>0</v>
      </c>
      <c r="AV7" s="259">
        <f>IF(AU7-'Income Statement Projections'!AU123&lt;0,0,AU7-'Income Statement Projections'!AU123)</f>
        <v>0</v>
      </c>
      <c r="AW7" s="259">
        <f>IF(AV7-'Income Statement Projections'!AV123&lt;0,0,AV7-'Income Statement Projections'!AV123)</f>
        <v>0</v>
      </c>
      <c r="AX7" s="259">
        <f>IF(AW7-'Income Statement Projections'!AW123&lt;0,0,AW7-'Income Statement Projections'!AW123)</f>
        <v>0</v>
      </c>
      <c r="AY7" s="259">
        <f>IF(AX7-'Income Statement Projections'!AX123&lt;0,0,AX7-'Income Statement Projections'!AX123)</f>
        <v>0</v>
      </c>
      <c r="AZ7" s="259">
        <f>IF(AY7-'Income Statement Projections'!AY123&lt;0,0,AY7-'Income Statement Projections'!AY123)</f>
        <v>0</v>
      </c>
      <c r="BA7" s="259">
        <f>IF(AZ7-'Income Statement Projections'!AZ123&lt;0,0,AZ7-'Income Statement Projections'!AZ123)</f>
        <v>0</v>
      </c>
      <c r="BB7" s="259">
        <f>IF(BA7-'Income Statement Projections'!BA123&lt;0,0,BA7-'Income Statement Projections'!BA123)</f>
        <v>0</v>
      </c>
      <c r="BC7" s="259">
        <f>IF(BB7-'Income Statement Projections'!BB123&lt;0,0,BB7-'Income Statement Projections'!BB123)</f>
        <v>0</v>
      </c>
      <c r="BD7" s="259">
        <f>IF(BC7-'Income Statement Projections'!BC123&lt;0,0,BC7-'Income Statement Projections'!BC123)</f>
        <v>0</v>
      </c>
      <c r="BE7" s="259">
        <f>IF(BD7-'Income Statement Projections'!BD123&lt;0,0,BD7-'Income Statement Projections'!BD123)</f>
        <v>0</v>
      </c>
      <c r="BF7" s="259">
        <f>IF(BE7-'Income Statement Projections'!BE123&lt;0,0,BE7-'Income Statement Projections'!BE123)</f>
        <v>0</v>
      </c>
      <c r="BG7" s="259">
        <f>IF(BF7-'Income Statement Projections'!BF123&lt;0,0,BF7-'Income Statement Projections'!BF123)</f>
        <v>0</v>
      </c>
      <c r="BH7" s="259">
        <f>IF(BG7-'Income Statement Projections'!BG123&lt;0,0,BG7-'Income Statement Projections'!BG123)</f>
        <v>0</v>
      </c>
      <c r="BI7" s="259">
        <f>IF(BH7-'Income Statement Projections'!BH123&lt;0,0,BH7-'Income Statement Projections'!BH123)</f>
        <v>0</v>
      </c>
      <c r="BJ7" s="259">
        <f>IF(BI7-'Income Statement Projections'!BI123&lt;0,0,BI7-'Income Statement Projections'!BI123)</f>
        <v>0</v>
      </c>
      <c r="BK7" s="259">
        <f t="shared" si="2"/>
        <v>4234.0363960942341</v>
      </c>
      <c r="BL7" s="259">
        <f t="shared" si="3"/>
        <v>0</v>
      </c>
      <c r="BM7" s="259">
        <f t="shared" si="4"/>
        <v>0</v>
      </c>
      <c r="BN7" s="259">
        <f t="shared" si="5"/>
        <v>0</v>
      </c>
      <c r="BO7" s="259">
        <f t="shared" si="6"/>
        <v>0</v>
      </c>
      <c r="BP7" s="259">
        <f t="shared" si="7"/>
        <v>0</v>
      </c>
    </row>
    <row r="8" spans="1:68">
      <c r="A8" s="172" t="s">
        <v>456</v>
      </c>
      <c r="B8" s="290"/>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f t="shared" si="2"/>
        <v>0</v>
      </c>
      <c r="BL8" s="259">
        <f t="shared" si="3"/>
        <v>0</v>
      </c>
      <c r="BM8" s="259">
        <f t="shared" si="4"/>
        <v>0</v>
      </c>
      <c r="BN8" s="259">
        <f t="shared" si="5"/>
        <v>0</v>
      </c>
      <c r="BO8" s="259">
        <f t="shared" si="6"/>
        <v>0</v>
      </c>
      <c r="BP8" s="259">
        <f t="shared" si="7"/>
        <v>0</v>
      </c>
    </row>
    <row r="9" spans="1:68">
      <c r="A9" s="168" t="s">
        <v>118</v>
      </c>
      <c r="B9" s="168">
        <f>SUM(B5:B7)</f>
        <v>200000</v>
      </c>
      <c r="C9" s="168">
        <f t="shared" ref="C9:N9" si="8">SUM(C5:C7)</f>
        <v>155850.95060810164</v>
      </c>
      <c r="D9" s="168">
        <f t="shared" si="8"/>
        <v>147876.31310154335</v>
      </c>
      <c r="E9" s="168">
        <f t="shared" si="8"/>
        <v>140240.8852303251</v>
      </c>
      <c r="F9" s="168">
        <f t="shared" si="8"/>
        <v>132944.66699444692</v>
      </c>
      <c r="G9" s="168">
        <f t="shared" si="8"/>
        <v>125987.65839390877</v>
      </c>
      <c r="H9" s="168">
        <f t="shared" si="8"/>
        <v>119369.85942871074</v>
      </c>
      <c r="I9" s="168">
        <f t="shared" si="8"/>
        <v>113091.27009885271</v>
      </c>
      <c r="J9" s="168">
        <f t="shared" si="8"/>
        <v>107151.89040433473</v>
      </c>
      <c r="K9" s="168">
        <f t="shared" si="8"/>
        <v>101551.72034515679</v>
      </c>
      <c r="L9" s="168">
        <f t="shared" si="8"/>
        <v>96290.759921318924</v>
      </c>
      <c r="M9" s="168">
        <f t="shared" si="8"/>
        <v>91369.009132821113</v>
      </c>
      <c r="N9" s="168">
        <f t="shared" si="8"/>
        <v>86786.467979663343</v>
      </c>
      <c r="O9" s="168">
        <f t="shared" ref="O9:BJ9" si="9">SUM(O5:O7)</f>
        <v>82543.136461845643</v>
      </c>
      <c r="P9" s="168">
        <f t="shared" si="9"/>
        <v>78639.014579367999</v>
      </c>
      <c r="Q9" s="168">
        <f t="shared" si="9"/>
        <v>75074.102332230395</v>
      </c>
      <c r="R9" s="168">
        <f t="shared" si="9"/>
        <v>71848.399720432848</v>
      </c>
      <c r="S9" s="168">
        <f t="shared" si="9"/>
        <v>68961.906743975356</v>
      </c>
      <c r="T9" s="168">
        <f t="shared" si="9"/>
        <v>66397.801203092851</v>
      </c>
      <c r="U9" s="168">
        <f t="shared" si="9"/>
        <v>64121.924591838499</v>
      </c>
      <c r="V9" s="168">
        <f t="shared" si="9"/>
        <v>62134.265209416466</v>
      </c>
      <c r="W9" s="168">
        <f t="shared" si="9"/>
        <v>60434.81129652699</v>
      </c>
      <c r="X9" s="168">
        <f t="shared" si="9"/>
        <v>59023.551035073775</v>
      </c>
      <c r="Y9" s="168">
        <f t="shared" si="9"/>
        <v>57900.472547870042</v>
      </c>
      <c r="Z9" s="168">
        <f t="shared" si="9"/>
        <v>57065.563898343113</v>
      </c>
      <c r="AA9" s="168">
        <f t="shared" si="9"/>
        <v>56518.813090237425</v>
      </c>
      <c r="AB9" s="168">
        <f t="shared" si="9"/>
        <v>56260.208067316154</v>
      </c>
      <c r="AC9" s="168">
        <f t="shared" si="9"/>
        <v>56289.736713061255</v>
      </c>
      <c r="AD9" s="168">
        <f t="shared" si="9"/>
        <v>56607.386850372088</v>
      </c>
      <c r="AE9" s="168">
        <f t="shared" si="9"/>
        <v>57213.146241262584</v>
      </c>
      <c r="AF9" s="168">
        <f t="shared" si="9"/>
        <v>58107.002586556686</v>
      </c>
      <c r="AG9" s="168">
        <f t="shared" si="9"/>
        <v>59288.943525582465</v>
      </c>
      <c r="AH9" s="168">
        <f t="shared" si="9"/>
        <v>60758.956635864626</v>
      </c>
      <c r="AI9" s="168">
        <f t="shared" si="9"/>
        <v>62517.0294328155</v>
      </c>
      <c r="AJ9" s="168">
        <f t="shared" si="9"/>
        <v>64563.149369424485</v>
      </c>
      <c r="AK9" s="168">
        <f t="shared" si="9"/>
        <v>66897.303835945946</v>
      </c>
      <c r="AL9" s="168">
        <f t="shared" si="9"/>
        <v>69519.480159585495</v>
      </c>
      <c r="AM9" s="168">
        <f t="shared" si="9"/>
        <v>72429.66560418476</v>
      </c>
      <c r="AN9" s="168">
        <f t="shared" si="9"/>
        <v>75627.847369904615</v>
      </c>
      <c r="AO9" s="168">
        <f t="shared" si="9"/>
        <v>79114.012592906714</v>
      </c>
      <c r="AP9" s="168">
        <f t="shared" si="9"/>
        <v>82888.148345033507</v>
      </c>
      <c r="AQ9" s="168">
        <f t="shared" si="9"/>
        <v>86950.241633486701</v>
      </c>
      <c r="AR9" s="168">
        <f t="shared" si="9"/>
        <v>91300.279400503961</v>
      </c>
      <c r="AS9" s="168">
        <f t="shared" si="9"/>
        <v>95938.24852303417</v>
      </c>
      <c r="AT9" s="168">
        <f t="shared" si="9"/>
        <v>100864.13581241094</v>
      </c>
      <c r="AU9" s="168">
        <f t="shared" si="9"/>
        <v>106077.92801402457</v>
      </c>
      <c r="AV9" s="168">
        <f t="shared" si="9"/>
        <v>111579.61180699228</v>
      </c>
      <c r="AW9" s="168">
        <f t="shared" si="9"/>
        <v>117369.17380382691</v>
      </c>
      <c r="AX9" s="168">
        <f t="shared" si="9"/>
        <v>123446.60055010385</v>
      </c>
      <c r="AY9" s="168">
        <f t="shared" si="9"/>
        <v>129664.10409223184</v>
      </c>
      <c r="AZ9" s="168">
        <f t="shared" si="9"/>
        <v>136024.16072840564</v>
      </c>
      <c r="BA9" s="168">
        <f t="shared" si="9"/>
        <v>142526.75680137356</v>
      </c>
      <c r="BB9" s="168">
        <f t="shared" si="9"/>
        <v>149171.87858559756</v>
      </c>
      <c r="BC9" s="168">
        <f t="shared" si="9"/>
        <v>155959.51228691195</v>
      </c>
      <c r="BD9" s="168">
        <f t="shared" si="9"/>
        <v>162889.64404218021</v>
      </c>
      <c r="BE9" s="168">
        <f t="shared" si="9"/>
        <v>169962.25991895012</v>
      </c>
      <c r="BF9" s="168">
        <f t="shared" si="9"/>
        <v>177177.34591510726</v>
      </c>
      <c r="BG9" s="168">
        <f t="shared" si="9"/>
        <v>184534.88795852658</v>
      </c>
      <c r="BH9" s="168">
        <f t="shared" si="9"/>
        <v>192034.87190672237</v>
      </c>
      <c r="BI9" s="168">
        <f t="shared" si="9"/>
        <v>199677.28354649662</v>
      </c>
      <c r="BJ9" s="168">
        <f t="shared" si="9"/>
        <v>207462.1085935852</v>
      </c>
      <c r="BK9" s="168">
        <f t="shared" si="2"/>
        <v>200000</v>
      </c>
      <c r="BL9" s="168">
        <f t="shared" si="3"/>
        <v>86786.467979663343</v>
      </c>
      <c r="BM9" s="168">
        <f t="shared" si="4"/>
        <v>57065.563898343113</v>
      </c>
      <c r="BN9" s="168">
        <f t="shared" si="5"/>
        <v>69519.480159585495</v>
      </c>
      <c r="BO9" s="168">
        <f t="shared" si="6"/>
        <v>123446.60055010385</v>
      </c>
      <c r="BP9" s="168">
        <f t="shared" si="7"/>
        <v>207462.1085935852</v>
      </c>
    </row>
    <row r="10" spans="1:68">
      <c r="A10" s="167"/>
      <c r="B10" s="167"/>
      <c r="BK10">
        <f t="shared" si="2"/>
        <v>0</v>
      </c>
      <c r="BL10">
        <f t="shared" si="3"/>
        <v>0</v>
      </c>
      <c r="BM10">
        <f t="shared" si="4"/>
        <v>0</v>
      </c>
      <c r="BN10">
        <f t="shared" si="5"/>
        <v>0</v>
      </c>
      <c r="BO10">
        <f t="shared" si="6"/>
        <v>0</v>
      </c>
      <c r="BP10">
        <f t="shared" si="7"/>
        <v>0</v>
      </c>
    </row>
    <row r="11" spans="1:68">
      <c r="A11" s="170" t="s">
        <v>176</v>
      </c>
      <c r="B11" s="170"/>
      <c r="BK11">
        <f t="shared" si="2"/>
        <v>0</v>
      </c>
      <c r="BL11">
        <f t="shared" si="3"/>
        <v>0</v>
      </c>
      <c r="BM11">
        <f t="shared" si="4"/>
        <v>0</v>
      </c>
      <c r="BN11">
        <f t="shared" si="5"/>
        <v>0</v>
      </c>
      <c r="BO11">
        <f t="shared" si="6"/>
        <v>0</v>
      </c>
      <c r="BP11">
        <f t="shared" si="7"/>
        <v>0</v>
      </c>
    </row>
    <row r="12" spans="1:68">
      <c r="A12" s="170" t="s">
        <v>545</v>
      </c>
      <c r="B12" s="170"/>
      <c r="BK12">
        <f t="shared" si="2"/>
        <v>0</v>
      </c>
      <c r="BL12">
        <f t="shared" si="3"/>
        <v>0</v>
      </c>
      <c r="BM12">
        <f t="shared" si="4"/>
        <v>0</v>
      </c>
      <c r="BN12">
        <f t="shared" si="5"/>
        <v>0</v>
      </c>
      <c r="BO12">
        <f t="shared" si="6"/>
        <v>0</v>
      </c>
      <c r="BP12">
        <f t="shared" si="7"/>
        <v>0</v>
      </c>
    </row>
    <row r="13" spans="1:68">
      <c r="A13" s="172" t="s">
        <v>546</v>
      </c>
      <c r="B13" s="172"/>
      <c r="BK13">
        <f t="shared" si="2"/>
        <v>0</v>
      </c>
      <c r="BL13">
        <f t="shared" si="3"/>
        <v>0</v>
      </c>
      <c r="BM13">
        <f t="shared" si="4"/>
        <v>0</v>
      </c>
      <c r="BN13">
        <f t="shared" si="5"/>
        <v>0</v>
      </c>
      <c r="BO13">
        <f t="shared" si="6"/>
        <v>0</v>
      </c>
      <c r="BP13">
        <f t="shared" si="7"/>
        <v>0</v>
      </c>
    </row>
    <row r="14" spans="1:68">
      <c r="A14" s="172" t="s">
        <v>177</v>
      </c>
      <c r="B14" s="172"/>
      <c r="C14" s="259">
        <f>'Income Statement Projections'!B100</f>
        <v>0</v>
      </c>
      <c r="D14" s="259">
        <f>'Income Statement Projections'!C100+C14</f>
        <v>0</v>
      </c>
      <c r="E14" s="259">
        <f>'Income Statement Projections'!D100+D14</f>
        <v>0</v>
      </c>
      <c r="F14" s="259">
        <f>'Income Statement Projections'!E100+E14</f>
        <v>0</v>
      </c>
      <c r="G14" s="259">
        <f>'Income Statement Projections'!F100+F14</f>
        <v>0</v>
      </c>
      <c r="H14" s="259">
        <f>'Income Statement Projections'!G100+G14</f>
        <v>0</v>
      </c>
      <c r="I14" s="259">
        <f>'Income Statement Projections'!H100+H14</f>
        <v>0</v>
      </c>
      <c r="J14" s="259">
        <f>'Income Statement Projections'!I100+I14</f>
        <v>0</v>
      </c>
      <c r="K14" s="259">
        <f>'Income Statement Projections'!J100+J14</f>
        <v>0</v>
      </c>
      <c r="L14" s="259">
        <f>'Income Statement Projections'!K100+K14</f>
        <v>0</v>
      </c>
      <c r="M14" s="259">
        <f>'Income Statement Projections'!L100+L14</f>
        <v>0</v>
      </c>
      <c r="N14" s="259">
        <f>'Income Statement Projections'!M100+M14</f>
        <v>0</v>
      </c>
      <c r="O14" s="259">
        <f>'Income Statement Projections'!N100+N14</f>
        <v>0</v>
      </c>
      <c r="P14" s="259">
        <f>'Income Statement Projections'!O100+O14</f>
        <v>0</v>
      </c>
      <c r="Q14" s="259">
        <f>'Income Statement Projections'!P100+P14</f>
        <v>0</v>
      </c>
      <c r="R14" s="259">
        <f>'Income Statement Projections'!Q100+Q14</f>
        <v>0</v>
      </c>
      <c r="S14" s="259">
        <f>'Income Statement Projections'!R100+R14</f>
        <v>0</v>
      </c>
      <c r="T14" s="259">
        <f>'Income Statement Projections'!S100+S14</f>
        <v>0</v>
      </c>
      <c r="U14" s="259">
        <f>'Income Statement Projections'!T100+T14</f>
        <v>0</v>
      </c>
      <c r="V14" s="259">
        <f>'Income Statement Projections'!U100+U14</f>
        <v>0</v>
      </c>
      <c r="W14" s="259">
        <f>'Income Statement Projections'!V100+V14</f>
        <v>0</v>
      </c>
      <c r="X14" s="259">
        <f>'Income Statement Projections'!W100+W14</f>
        <v>0</v>
      </c>
      <c r="Y14" s="259">
        <f>'Income Statement Projections'!X100+X14</f>
        <v>0</v>
      </c>
      <c r="Z14" s="259">
        <f>'Income Statement Projections'!Y100+Y14</f>
        <v>0</v>
      </c>
      <c r="AA14" s="259">
        <f>'Income Statement Projections'!Z100+Z14</f>
        <v>0</v>
      </c>
      <c r="AB14" s="259">
        <f>'Income Statement Projections'!AA100+AA14</f>
        <v>0</v>
      </c>
      <c r="AC14" s="259">
        <f>'Income Statement Projections'!AB100+AB14</f>
        <v>0</v>
      </c>
      <c r="AD14" s="259">
        <f>'Income Statement Projections'!AC100+AC14</f>
        <v>0</v>
      </c>
      <c r="AE14" s="259">
        <f>'Income Statement Projections'!AD100+AD14</f>
        <v>0</v>
      </c>
      <c r="AF14" s="259">
        <f>'Income Statement Projections'!AE100+AE14</f>
        <v>0</v>
      </c>
      <c r="AG14" s="259">
        <f>'Income Statement Projections'!AF100+AF14</f>
        <v>0</v>
      </c>
      <c r="AH14" s="259">
        <f>'Income Statement Projections'!AG100+AG14</f>
        <v>0</v>
      </c>
      <c r="AI14" s="259">
        <f>'Income Statement Projections'!AH100+AH14</f>
        <v>0</v>
      </c>
      <c r="AJ14" s="259">
        <f>'Income Statement Projections'!AI100+AI14</f>
        <v>0</v>
      </c>
      <c r="AK14" s="259">
        <f>'Income Statement Projections'!AJ100+AJ14</f>
        <v>0</v>
      </c>
      <c r="AL14" s="259">
        <f>'Income Statement Projections'!AK100+AK14</f>
        <v>0</v>
      </c>
      <c r="AM14" s="259">
        <f>'Income Statement Projections'!AL100+AL14</f>
        <v>0</v>
      </c>
      <c r="AN14" s="259">
        <f>'Income Statement Projections'!AM100+AM14</f>
        <v>0</v>
      </c>
      <c r="AO14" s="259">
        <f>'Income Statement Projections'!AN100+AN14</f>
        <v>0</v>
      </c>
      <c r="AP14" s="259">
        <f>'Income Statement Projections'!AO100+AO14</f>
        <v>0</v>
      </c>
      <c r="AQ14" s="259">
        <f>'Income Statement Projections'!AP100+AP14</f>
        <v>0</v>
      </c>
      <c r="AR14" s="259">
        <f>'Income Statement Projections'!AQ100+AQ14</f>
        <v>0</v>
      </c>
      <c r="AS14" s="259">
        <f>'Income Statement Projections'!AR100+AR14</f>
        <v>0</v>
      </c>
      <c r="AT14" s="259">
        <f>'Income Statement Projections'!AS100+AS14</f>
        <v>0</v>
      </c>
      <c r="AU14" s="259">
        <f>'Income Statement Projections'!AT100+AT14</f>
        <v>0</v>
      </c>
      <c r="AV14" s="259">
        <f>'Income Statement Projections'!AU100+AU14</f>
        <v>0</v>
      </c>
      <c r="AW14" s="259">
        <f>'Income Statement Projections'!AV100+AV14</f>
        <v>0</v>
      </c>
      <c r="AX14" s="259">
        <f>'Income Statement Projections'!AW100+AW14</f>
        <v>0</v>
      </c>
      <c r="AY14" s="259">
        <f>'Income Statement Projections'!AX100+AX14</f>
        <v>0</v>
      </c>
      <c r="AZ14" s="259">
        <f>'Income Statement Projections'!AY100+AY14</f>
        <v>0</v>
      </c>
      <c r="BA14" s="259">
        <f>'Income Statement Projections'!AZ100+AZ14</f>
        <v>0</v>
      </c>
      <c r="BB14" s="259">
        <f>'Income Statement Projections'!BA100+BA14</f>
        <v>0</v>
      </c>
      <c r="BC14" s="259">
        <f>'Income Statement Projections'!BB100+BB14</f>
        <v>0</v>
      </c>
      <c r="BD14" s="259">
        <f>'Income Statement Projections'!BC100+BC14</f>
        <v>0</v>
      </c>
      <c r="BE14" s="259">
        <f>'Income Statement Projections'!BD100+BD14</f>
        <v>0</v>
      </c>
      <c r="BF14" s="259">
        <f>'Income Statement Projections'!BE100+BE14</f>
        <v>0</v>
      </c>
      <c r="BG14" s="259">
        <f>'Income Statement Projections'!BF100+BF14</f>
        <v>0</v>
      </c>
      <c r="BH14" s="259">
        <f>'Income Statement Projections'!BG100+BG14</f>
        <v>0</v>
      </c>
      <c r="BI14" s="259">
        <f>'Income Statement Projections'!BH100+BH14</f>
        <v>0</v>
      </c>
      <c r="BJ14" s="259">
        <f>'Income Statement Projections'!BI100+BI14</f>
        <v>0</v>
      </c>
      <c r="BK14" s="259">
        <f t="shared" si="2"/>
        <v>0</v>
      </c>
      <c r="BL14" s="259">
        <f t="shared" si="3"/>
        <v>0</v>
      </c>
      <c r="BM14" s="259">
        <f t="shared" si="4"/>
        <v>0</v>
      </c>
      <c r="BN14" s="259">
        <f t="shared" si="5"/>
        <v>0</v>
      </c>
      <c r="BO14" s="259">
        <f t="shared" si="6"/>
        <v>0</v>
      </c>
      <c r="BP14" s="259">
        <f t="shared" si="7"/>
        <v>0</v>
      </c>
    </row>
    <row r="15" spans="1:68">
      <c r="A15" s="168" t="s">
        <v>178</v>
      </c>
      <c r="B15" s="168">
        <f>SUM(B11:B14)</f>
        <v>0</v>
      </c>
      <c r="C15" s="168">
        <f>SUM(C11:C13)-C14</f>
        <v>0</v>
      </c>
      <c r="D15" s="168">
        <f t="shared" ref="D15:N15" si="10">SUM(D11:D13)-D14</f>
        <v>0</v>
      </c>
      <c r="E15" s="168">
        <f t="shared" si="10"/>
        <v>0</v>
      </c>
      <c r="F15" s="168">
        <f t="shared" si="10"/>
        <v>0</v>
      </c>
      <c r="G15" s="168">
        <f t="shared" si="10"/>
        <v>0</v>
      </c>
      <c r="H15" s="168">
        <f t="shared" si="10"/>
        <v>0</v>
      </c>
      <c r="I15" s="168">
        <f t="shared" si="10"/>
        <v>0</v>
      </c>
      <c r="J15" s="168">
        <f t="shared" si="10"/>
        <v>0</v>
      </c>
      <c r="K15" s="168">
        <f t="shared" si="10"/>
        <v>0</v>
      </c>
      <c r="L15" s="168">
        <f t="shared" si="10"/>
        <v>0</v>
      </c>
      <c r="M15" s="168">
        <f t="shared" si="10"/>
        <v>0</v>
      </c>
      <c r="N15" s="168">
        <f t="shared" si="10"/>
        <v>0</v>
      </c>
      <c r="O15" s="168">
        <f t="shared" ref="O15" si="11">SUM(O11:O13)-O14</f>
        <v>0</v>
      </c>
      <c r="P15" s="168">
        <f t="shared" ref="P15" si="12">SUM(P11:P13)-P14</f>
        <v>0</v>
      </c>
      <c r="Q15" s="168">
        <f t="shared" ref="Q15" si="13">SUM(Q11:Q13)-Q14</f>
        <v>0</v>
      </c>
      <c r="R15" s="168">
        <f t="shared" ref="R15" si="14">SUM(R11:R13)-R14</f>
        <v>0</v>
      </c>
      <c r="S15" s="168">
        <f t="shared" ref="S15" si="15">SUM(S11:S13)-S14</f>
        <v>0</v>
      </c>
      <c r="T15" s="168">
        <f t="shared" ref="T15" si="16">SUM(T11:T13)-T14</f>
        <v>0</v>
      </c>
      <c r="U15" s="168">
        <f t="shared" ref="U15" si="17">SUM(U11:U13)-U14</f>
        <v>0</v>
      </c>
      <c r="V15" s="168">
        <f t="shared" ref="V15" si="18">SUM(V11:V13)-V14</f>
        <v>0</v>
      </c>
      <c r="W15" s="168">
        <f t="shared" ref="W15" si="19">SUM(W11:W13)-W14</f>
        <v>0</v>
      </c>
      <c r="X15" s="168">
        <f t="shared" ref="X15" si="20">SUM(X11:X13)-X14</f>
        <v>0</v>
      </c>
      <c r="Y15" s="168">
        <f t="shared" ref="Y15" si="21">SUM(Y11:Y13)-Y14</f>
        <v>0</v>
      </c>
      <c r="Z15" s="168">
        <f t="shared" ref="Z15" si="22">SUM(Z11:Z13)-Z14</f>
        <v>0</v>
      </c>
      <c r="AA15" s="168">
        <f t="shared" ref="AA15" si="23">SUM(AA11:AA13)-AA14</f>
        <v>0</v>
      </c>
      <c r="AB15" s="168">
        <f t="shared" ref="AB15" si="24">SUM(AB11:AB13)-AB14</f>
        <v>0</v>
      </c>
      <c r="AC15" s="168">
        <f t="shared" ref="AC15" si="25">SUM(AC11:AC13)-AC14</f>
        <v>0</v>
      </c>
      <c r="AD15" s="168">
        <f t="shared" ref="AD15" si="26">SUM(AD11:AD13)-AD14</f>
        <v>0</v>
      </c>
      <c r="AE15" s="168">
        <f t="shared" ref="AE15" si="27">SUM(AE11:AE13)-AE14</f>
        <v>0</v>
      </c>
      <c r="AF15" s="168">
        <f t="shared" ref="AF15" si="28">SUM(AF11:AF13)-AF14</f>
        <v>0</v>
      </c>
      <c r="AG15" s="168">
        <f t="shared" ref="AG15" si="29">SUM(AG11:AG13)-AG14</f>
        <v>0</v>
      </c>
      <c r="AH15" s="168">
        <f t="shared" ref="AH15" si="30">SUM(AH11:AH13)-AH14</f>
        <v>0</v>
      </c>
      <c r="AI15" s="168">
        <f t="shared" ref="AI15" si="31">SUM(AI11:AI13)-AI14</f>
        <v>0</v>
      </c>
      <c r="AJ15" s="168">
        <f t="shared" ref="AJ15" si="32">SUM(AJ11:AJ13)-AJ14</f>
        <v>0</v>
      </c>
      <c r="AK15" s="168">
        <f t="shared" ref="AK15" si="33">SUM(AK11:AK13)-AK14</f>
        <v>0</v>
      </c>
      <c r="AL15" s="168">
        <f t="shared" ref="AL15" si="34">SUM(AL11:AL13)-AL14</f>
        <v>0</v>
      </c>
      <c r="AM15" s="168">
        <f t="shared" ref="AM15" si="35">SUM(AM11:AM13)-AM14</f>
        <v>0</v>
      </c>
      <c r="AN15" s="168">
        <f t="shared" ref="AN15" si="36">SUM(AN11:AN13)-AN14</f>
        <v>0</v>
      </c>
      <c r="AO15" s="168">
        <f t="shared" ref="AO15" si="37">SUM(AO11:AO13)-AO14</f>
        <v>0</v>
      </c>
      <c r="AP15" s="168">
        <f t="shared" ref="AP15" si="38">SUM(AP11:AP13)-AP14</f>
        <v>0</v>
      </c>
      <c r="AQ15" s="168">
        <f t="shared" ref="AQ15" si="39">SUM(AQ11:AQ13)-AQ14</f>
        <v>0</v>
      </c>
      <c r="AR15" s="168">
        <f t="shared" ref="AR15" si="40">SUM(AR11:AR13)-AR14</f>
        <v>0</v>
      </c>
      <c r="AS15" s="168">
        <f t="shared" ref="AS15" si="41">SUM(AS11:AS13)-AS14</f>
        <v>0</v>
      </c>
      <c r="AT15" s="168">
        <f t="shared" ref="AT15" si="42">SUM(AT11:AT13)-AT14</f>
        <v>0</v>
      </c>
      <c r="AU15" s="168">
        <f t="shared" ref="AU15" si="43">SUM(AU11:AU13)-AU14</f>
        <v>0</v>
      </c>
      <c r="AV15" s="168">
        <f t="shared" ref="AV15" si="44">SUM(AV11:AV13)-AV14</f>
        <v>0</v>
      </c>
      <c r="AW15" s="168">
        <f t="shared" ref="AW15" si="45">SUM(AW11:AW13)-AW14</f>
        <v>0</v>
      </c>
      <c r="AX15" s="168">
        <f t="shared" ref="AX15" si="46">SUM(AX11:AX13)-AX14</f>
        <v>0</v>
      </c>
      <c r="AY15" s="168">
        <f t="shared" ref="AY15" si="47">SUM(AY11:AY13)-AY14</f>
        <v>0</v>
      </c>
      <c r="AZ15" s="168">
        <f t="shared" ref="AZ15" si="48">SUM(AZ11:AZ13)-AZ14</f>
        <v>0</v>
      </c>
      <c r="BA15" s="168">
        <f t="shared" ref="BA15" si="49">SUM(BA11:BA13)-BA14</f>
        <v>0</v>
      </c>
      <c r="BB15" s="168">
        <f t="shared" ref="BB15" si="50">SUM(BB11:BB13)-BB14</f>
        <v>0</v>
      </c>
      <c r="BC15" s="168">
        <f t="shared" ref="BC15" si="51">SUM(BC11:BC13)-BC14</f>
        <v>0</v>
      </c>
      <c r="BD15" s="168">
        <f t="shared" ref="BD15" si="52">SUM(BD11:BD13)-BD14</f>
        <v>0</v>
      </c>
      <c r="BE15" s="168">
        <f t="shared" ref="BE15" si="53">SUM(BE11:BE13)-BE14</f>
        <v>0</v>
      </c>
      <c r="BF15" s="168">
        <f t="shared" ref="BF15" si="54">SUM(BF11:BF13)-BF14</f>
        <v>0</v>
      </c>
      <c r="BG15" s="168">
        <f t="shared" ref="BG15" si="55">SUM(BG11:BG13)-BG14</f>
        <v>0</v>
      </c>
      <c r="BH15" s="168">
        <f t="shared" ref="BH15" si="56">SUM(BH11:BH13)-BH14</f>
        <v>0</v>
      </c>
      <c r="BI15" s="168">
        <f t="shared" ref="BI15" si="57">SUM(BI11:BI13)-BI14</f>
        <v>0</v>
      </c>
      <c r="BJ15" s="168">
        <f t="shared" ref="BJ15" si="58">SUM(BJ11:BJ13)-BJ14</f>
        <v>0</v>
      </c>
      <c r="BK15" s="168">
        <f t="shared" si="2"/>
        <v>0</v>
      </c>
      <c r="BL15" s="168">
        <f t="shared" si="3"/>
        <v>0</v>
      </c>
      <c r="BM15" s="168">
        <f t="shared" si="4"/>
        <v>0</v>
      </c>
      <c r="BN15" s="168">
        <f t="shared" si="5"/>
        <v>0</v>
      </c>
      <c r="BO15" s="168">
        <f t="shared" si="6"/>
        <v>0</v>
      </c>
      <c r="BP15" s="168">
        <f t="shared" si="7"/>
        <v>0</v>
      </c>
    </row>
    <row r="16" spans="1:68">
      <c r="B16" s="169"/>
      <c r="BK16">
        <f t="shared" si="2"/>
        <v>0</v>
      </c>
      <c r="BL16">
        <f t="shared" si="3"/>
        <v>0</v>
      </c>
      <c r="BM16">
        <f t="shared" si="4"/>
        <v>0</v>
      </c>
      <c r="BN16">
        <f t="shared" si="5"/>
        <v>0</v>
      </c>
      <c r="BO16">
        <f t="shared" si="6"/>
        <v>0</v>
      </c>
      <c r="BP16">
        <f t="shared" si="7"/>
        <v>0</v>
      </c>
    </row>
    <row r="17" spans="1:68">
      <c r="A17" s="169" t="s">
        <v>120</v>
      </c>
      <c r="B17" s="167"/>
      <c r="BK17">
        <f t="shared" si="2"/>
        <v>0</v>
      </c>
      <c r="BL17">
        <f t="shared" si="3"/>
        <v>0</v>
      </c>
      <c r="BM17">
        <f t="shared" si="4"/>
        <v>0</v>
      </c>
      <c r="BN17">
        <f t="shared" si="5"/>
        <v>0</v>
      </c>
      <c r="BO17">
        <f t="shared" si="6"/>
        <v>0</v>
      </c>
      <c r="BP17">
        <f t="shared" si="7"/>
        <v>0</v>
      </c>
    </row>
    <row r="18" spans="1:68">
      <c r="A18" s="329" t="s">
        <v>547</v>
      </c>
      <c r="B18" s="329"/>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f t="shared" si="2"/>
        <v>0</v>
      </c>
      <c r="BL18" s="288">
        <f t="shared" si="3"/>
        <v>0</v>
      </c>
      <c r="BM18" s="288">
        <f t="shared" si="4"/>
        <v>0</v>
      </c>
      <c r="BN18" s="288">
        <f t="shared" si="5"/>
        <v>0</v>
      </c>
      <c r="BO18" s="288">
        <f t="shared" si="6"/>
        <v>0</v>
      </c>
      <c r="BP18" s="288">
        <f t="shared" si="7"/>
        <v>0</v>
      </c>
    </row>
    <row r="19" spans="1:68">
      <c r="A19" s="329" t="s">
        <v>548</v>
      </c>
      <c r="B19" s="329"/>
      <c r="BK19">
        <f t="shared" si="2"/>
        <v>0</v>
      </c>
      <c r="BL19">
        <f t="shared" si="3"/>
        <v>0</v>
      </c>
      <c r="BM19">
        <f t="shared" si="4"/>
        <v>0</v>
      </c>
      <c r="BN19">
        <f t="shared" si="5"/>
        <v>0</v>
      </c>
      <c r="BO19">
        <f t="shared" si="6"/>
        <v>0</v>
      </c>
      <c r="BP19">
        <f t="shared" si="7"/>
        <v>0</v>
      </c>
    </row>
    <row r="20" spans="1:68">
      <c r="A20" s="168" t="s">
        <v>458</v>
      </c>
      <c r="B20" s="168">
        <f>SUM(B18:B19)</f>
        <v>0</v>
      </c>
      <c r="C20" s="168">
        <f t="shared" ref="C20:N20" si="59">SUM(C18:C19)</f>
        <v>0</v>
      </c>
      <c r="D20" s="168">
        <f t="shared" si="59"/>
        <v>0</v>
      </c>
      <c r="E20" s="168">
        <f t="shared" si="59"/>
        <v>0</v>
      </c>
      <c r="F20" s="168">
        <f t="shared" si="59"/>
        <v>0</v>
      </c>
      <c r="G20" s="168">
        <f t="shared" si="59"/>
        <v>0</v>
      </c>
      <c r="H20" s="168">
        <f t="shared" si="59"/>
        <v>0</v>
      </c>
      <c r="I20" s="168">
        <f t="shared" si="59"/>
        <v>0</v>
      </c>
      <c r="J20" s="168">
        <f t="shared" si="59"/>
        <v>0</v>
      </c>
      <c r="K20" s="168">
        <f t="shared" si="59"/>
        <v>0</v>
      </c>
      <c r="L20" s="168">
        <f t="shared" si="59"/>
        <v>0</v>
      </c>
      <c r="M20" s="168">
        <f t="shared" si="59"/>
        <v>0</v>
      </c>
      <c r="N20" s="168">
        <f t="shared" si="59"/>
        <v>0</v>
      </c>
      <c r="O20" s="168">
        <f t="shared" ref="O20" si="60">SUM(O18:O19)</f>
        <v>0</v>
      </c>
      <c r="P20" s="168">
        <f t="shared" ref="P20" si="61">SUM(P18:P19)</f>
        <v>0</v>
      </c>
      <c r="Q20" s="168">
        <f t="shared" ref="Q20" si="62">SUM(Q18:Q19)</f>
        <v>0</v>
      </c>
      <c r="R20" s="168">
        <f t="shared" ref="R20" si="63">SUM(R18:R19)</f>
        <v>0</v>
      </c>
      <c r="S20" s="168">
        <f t="shared" ref="S20" si="64">SUM(S18:S19)</f>
        <v>0</v>
      </c>
      <c r="T20" s="168">
        <f t="shared" ref="T20" si="65">SUM(T18:T19)</f>
        <v>0</v>
      </c>
      <c r="U20" s="168">
        <f t="shared" ref="U20" si="66">SUM(U18:U19)</f>
        <v>0</v>
      </c>
      <c r="V20" s="168">
        <f t="shared" ref="V20" si="67">SUM(V18:V19)</f>
        <v>0</v>
      </c>
      <c r="W20" s="168">
        <f t="shared" ref="W20" si="68">SUM(W18:W19)</f>
        <v>0</v>
      </c>
      <c r="X20" s="168">
        <f t="shared" ref="X20" si="69">SUM(X18:X19)</f>
        <v>0</v>
      </c>
      <c r="Y20" s="168">
        <f t="shared" ref="Y20" si="70">SUM(Y18:Y19)</f>
        <v>0</v>
      </c>
      <c r="Z20" s="168">
        <f t="shared" ref="Z20" si="71">SUM(Z18:Z19)</f>
        <v>0</v>
      </c>
      <c r="AA20" s="168">
        <f t="shared" ref="AA20" si="72">SUM(AA18:AA19)</f>
        <v>0</v>
      </c>
      <c r="AB20" s="168">
        <f t="shared" ref="AB20" si="73">SUM(AB18:AB19)</f>
        <v>0</v>
      </c>
      <c r="AC20" s="168">
        <f t="shared" ref="AC20" si="74">SUM(AC18:AC19)</f>
        <v>0</v>
      </c>
      <c r="AD20" s="168">
        <f t="shared" ref="AD20" si="75">SUM(AD18:AD19)</f>
        <v>0</v>
      </c>
      <c r="AE20" s="168">
        <f t="shared" ref="AE20" si="76">SUM(AE18:AE19)</f>
        <v>0</v>
      </c>
      <c r="AF20" s="168">
        <f t="shared" ref="AF20" si="77">SUM(AF18:AF19)</f>
        <v>0</v>
      </c>
      <c r="AG20" s="168">
        <f t="shared" ref="AG20" si="78">SUM(AG18:AG19)</f>
        <v>0</v>
      </c>
      <c r="AH20" s="168">
        <f t="shared" ref="AH20" si="79">SUM(AH18:AH19)</f>
        <v>0</v>
      </c>
      <c r="AI20" s="168">
        <f t="shared" ref="AI20" si="80">SUM(AI18:AI19)</f>
        <v>0</v>
      </c>
      <c r="AJ20" s="168">
        <f t="shared" ref="AJ20" si="81">SUM(AJ18:AJ19)</f>
        <v>0</v>
      </c>
      <c r="AK20" s="168">
        <f t="shared" ref="AK20" si="82">SUM(AK18:AK19)</f>
        <v>0</v>
      </c>
      <c r="AL20" s="168">
        <f t="shared" ref="AL20" si="83">SUM(AL18:AL19)</f>
        <v>0</v>
      </c>
      <c r="AM20" s="168">
        <f t="shared" ref="AM20" si="84">SUM(AM18:AM19)</f>
        <v>0</v>
      </c>
      <c r="AN20" s="168">
        <f t="shared" ref="AN20" si="85">SUM(AN18:AN19)</f>
        <v>0</v>
      </c>
      <c r="AO20" s="168">
        <f t="shared" ref="AO20" si="86">SUM(AO18:AO19)</f>
        <v>0</v>
      </c>
      <c r="AP20" s="168">
        <f t="shared" ref="AP20" si="87">SUM(AP18:AP19)</f>
        <v>0</v>
      </c>
      <c r="AQ20" s="168">
        <f t="shared" ref="AQ20" si="88">SUM(AQ18:AQ19)</f>
        <v>0</v>
      </c>
      <c r="AR20" s="168">
        <f t="shared" ref="AR20" si="89">SUM(AR18:AR19)</f>
        <v>0</v>
      </c>
      <c r="AS20" s="168">
        <f t="shared" ref="AS20" si="90">SUM(AS18:AS19)</f>
        <v>0</v>
      </c>
      <c r="AT20" s="168">
        <f t="shared" ref="AT20" si="91">SUM(AT18:AT19)</f>
        <v>0</v>
      </c>
      <c r="AU20" s="168">
        <f t="shared" ref="AU20" si="92">SUM(AU18:AU19)</f>
        <v>0</v>
      </c>
      <c r="AV20" s="168">
        <f t="shared" ref="AV20" si="93">SUM(AV18:AV19)</f>
        <v>0</v>
      </c>
      <c r="AW20" s="168">
        <f t="shared" ref="AW20" si="94">SUM(AW18:AW19)</f>
        <v>0</v>
      </c>
      <c r="AX20" s="168">
        <f t="shared" ref="AX20" si="95">SUM(AX18:AX19)</f>
        <v>0</v>
      </c>
      <c r="AY20" s="168">
        <f t="shared" ref="AY20" si="96">SUM(AY18:AY19)</f>
        <v>0</v>
      </c>
      <c r="AZ20" s="168">
        <f t="shared" ref="AZ20" si="97">SUM(AZ18:AZ19)</f>
        <v>0</v>
      </c>
      <c r="BA20" s="168">
        <f t="shared" ref="BA20" si="98">SUM(BA18:BA19)</f>
        <v>0</v>
      </c>
      <c r="BB20" s="168">
        <f t="shared" ref="BB20" si="99">SUM(BB18:BB19)</f>
        <v>0</v>
      </c>
      <c r="BC20" s="168">
        <f t="shared" ref="BC20" si="100">SUM(BC18:BC19)</f>
        <v>0</v>
      </c>
      <c r="BD20" s="168">
        <f t="shared" ref="BD20" si="101">SUM(BD18:BD19)</f>
        <v>0</v>
      </c>
      <c r="BE20" s="168">
        <f t="shared" ref="BE20" si="102">SUM(BE18:BE19)</f>
        <v>0</v>
      </c>
      <c r="BF20" s="168">
        <f t="shared" ref="BF20" si="103">SUM(BF18:BF19)</f>
        <v>0</v>
      </c>
      <c r="BG20" s="168">
        <f t="shared" ref="BG20" si="104">SUM(BG18:BG19)</f>
        <v>0</v>
      </c>
      <c r="BH20" s="168">
        <f t="shared" ref="BH20" si="105">SUM(BH18:BH19)</f>
        <v>0</v>
      </c>
      <c r="BI20" s="168">
        <f t="shared" ref="BI20" si="106">SUM(BI18:BI19)</f>
        <v>0</v>
      </c>
      <c r="BJ20" s="168">
        <f t="shared" ref="BJ20" si="107">SUM(BJ18:BJ19)</f>
        <v>0</v>
      </c>
      <c r="BK20" s="168">
        <f t="shared" si="2"/>
        <v>0</v>
      </c>
      <c r="BL20" s="168">
        <f t="shared" si="3"/>
        <v>0</v>
      </c>
      <c r="BM20" s="168">
        <f t="shared" si="4"/>
        <v>0</v>
      </c>
      <c r="BN20" s="168">
        <f t="shared" si="5"/>
        <v>0</v>
      </c>
      <c r="BO20" s="168">
        <f t="shared" si="6"/>
        <v>0</v>
      </c>
      <c r="BP20" s="168">
        <f t="shared" si="7"/>
        <v>0</v>
      </c>
    </row>
    <row r="21" spans="1:68">
      <c r="A21" s="173"/>
      <c r="B21" s="173"/>
    </row>
    <row r="22" spans="1:68">
      <c r="A22" s="168" t="s">
        <v>179</v>
      </c>
      <c r="B22" s="168">
        <f t="shared" ref="B22:N22" si="108">B20+B15+B9</f>
        <v>200000</v>
      </c>
      <c r="C22" s="168">
        <f t="shared" si="108"/>
        <v>155850.95060810164</v>
      </c>
      <c r="D22" s="168">
        <f t="shared" si="108"/>
        <v>147876.31310154335</v>
      </c>
      <c r="E22" s="168">
        <f t="shared" si="108"/>
        <v>140240.8852303251</v>
      </c>
      <c r="F22" s="168">
        <f t="shared" si="108"/>
        <v>132944.66699444692</v>
      </c>
      <c r="G22" s="168">
        <f t="shared" si="108"/>
        <v>125987.65839390877</v>
      </c>
      <c r="H22" s="168">
        <f t="shared" si="108"/>
        <v>119369.85942871074</v>
      </c>
      <c r="I22" s="168">
        <f t="shared" si="108"/>
        <v>113091.27009885271</v>
      </c>
      <c r="J22" s="168">
        <f t="shared" si="108"/>
        <v>107151.89040433473</v>
      </c>
      <c r="K22" s="168">
        <f t="shared" si="108"/>
        <v>101551.72034515679</v>
      </c>
      <c r="L22" s="168">
        <f t="shared" si="108"/>
        <v>96290.759921318924</v>
      </c>
      <c r="M22" s="168">
        <f t="shared" si="108"/>
        <v>91369.009132821113</v>
      </c>
      <c r="N22" s="168">
        <f t="shared" si="108"/>
        <v>86786.467979663343</v>
      </c>
      <c r="O22" s="168">
        <f t="shared" ref="O22:BJ22" si="109">O20+O15+O9</f>
        <v>82543.136461845643</v>
      </c>
      <c r="P22" s="168">
        <f t="shared" si="109"/>
        <v>78639.014579367999</v>
      </c>
      <c r="Q22" s="168">
        <f t="shared" si="109"/>
        <v>75074.102332230395</v>
      </c>
      <c r="R22" s="168">
        <f t="shared" si="109"/>
        <v>71848.399720432848</v>
      </c>
      <c r="S22" s="168">
        <f t="shared" si="109"/>
        <v>68961.906743975356</v>
      </c>
      <c r="T22" s="168">
        <f t="shared" si="109"/>
        <v>66397.801203092851</v>
      </c>
      <c r="U22" s="168">
        <f t="shared" si="109"/>
        <v>64121.924591838499</v>
      </c>
      <c r="V22" s="168">
        <f t="shared" si="109"/>
        <v>62134.265209416466</v>
      </c>
      <c r="W22" s="168">
        <f t="shared" si="109"/>
        <v>60434.81129652699</v>
      </c>
      <c r="X22" s="168">
        <f t="shared" si="109"/>
        <v>59023.551035073775</v>
      </c>
      <c r="Y22" s="168">
        <f t="shared" si="109"/>
        <v>57900.472547870042</v>
      </c>
      <c r="Z22" s="168">
        <f t="shared" si="109"/>
        <v>57065.563898343113</v>
      </c>
      <c r="AA22" s="168">
        <f t="shared" si="109"/>
        <v>56518.813090237425</v>
      </c>
      <c r="AB22" s="168">
        <f t="shared" si="109"/>
        <v>56260.208067316154</v>
      </c>
      <c r="AC22" s="168">
        <f t="shared" si="109"/>
        <v>56289.736713061255</v>
      </c>
      <c r="AD22" s="168">
        <f t="shared" si="109"/>
        <v>56607.386850372088</v>
      </c>
      <c r="AE22" s="168">
        <f t="shared" si="109"/>
        <v>57213.146241262584</v>
      </c>
      <c r="AF22" s="168">
        <f t="shared" si="109"/>
        <v>58107.002586556686</v>
      </c>
      <c r="AG22" s="168">
        <f t="shared" si="109"/>
        <v>59288.943525582465</v>
      </c>
      <c r="AH22" s="168">
        <f t="shared" si="109"/>
        <v>60758.956635864626</v>
      </c>
      <c r="AI22" s="168">
        <f t="shared" si="109"/>
        <v>62517.0294328155</v>
      </c>
      <c r="AJ22" s="168">
        <f t="shared" si="109"/>
        <v>64563.149369424485</v>
      </c>
      <c r="AK22" s="168">
        <f t="shared" si="109"/>
        <v>66897.303835945946</v>
      </c>
      <c r="AL22" s="168">
        <f t="shared" si="109"/>
        <v>69519.480159585495</v>
      </c>
      <c r="AM22" s="168">
        <f t="shared" si="109"/>
        <v>72429.66560418476</v>
      </c>
      <c r="AN22" s="168">
        <f t="shared" si="109"/>
        <v>75627.847369904615</v>
      </c>
      <c r="AO22" s="168">
        <f t="shared" si="109"/>
        <v>79114.012592906714</v>
      </c>
      <c r="AP22" s="168">
        <f t="shared" si="109"/>
        <v>82888.148345033507</v>
      </c>
      <c r="AQ22" s="168">
        <f t="shared" si="109"/>
        <v>86950.241633486701</v>
      </c>
      <c r="AR22" s="168">
        <f t="shared" si="109"/>
        <v>91300.279400503961</v>
      </c>
      <c r="AS22" s="168">
        <f t="shared" si="109"/>
        <v>95938.24852303417</v>
      </c>
      <c r="AT22" s="168">
        <f t="shared" si="109"/>
        <v>100864.13581241094</v>
      </c>
      <c r="AU22" s="168">
        <f t="shared" si="109"/>
        <v>106077.92801402457</v>
      </c>
      <c r="AV22" s="168">
        <f t="shared" si="109"/>
        <v>111579.61180699228</v>
      </c>
      <c r="AW22" s="168">
        <f t="shared" si="109"/>
        <v>117369.17380382691</v>
      </c>
      <c r="AX22" s="168">
        <f t="shared" si="109"/>
        <v>123446.60055010385</v>
      </c>
      <c r="AY22" s="168">
        <f t="shared" si="109"/>
        <v>129664.10409223184</v>
      </c>
      <c r="AZ22" s="168">
        <f t="shared" si="109"/>
        <v>136024.16072840564</v>
      </c>
      <c r="BA22" s="168">
        <f t="shared" si="109"/>
        <v>142526.75680137356</v>
      </c>
      <c r="BB22" s="168">
        <f t="shared" si="109"/>
        <v>149171.87858559756</v>
      </c>
      <c r="BC22" s="168">
        <f t="shared" si="109"/>
        <v>155959.51228691195</v>
      </c>
      <c r="BD22" s="168">
        <f t="shared" si="109"/>
        <v>162889.64404218021</v>
      </c>
      <c r="BE22" s="168">
        <f t="shared" si="109"/>
        <v>169962.25991895012</v>
      </c>
      <c r="BF22" s="168">
        <f t="shared" si="109"/>
        <v>177177.34591510726</v>
      </c>
      <c r="BG22" s="168">
        <f t="shared" si="109"/>
        <v>184534.88795852658</v>
      </c>
      <c r="BH22" s="168">
        <f t="shared" si="109"/>
        <v>192034.87190672237</v>
      </c>
      <c r="BI22" s="168">
        <f t="shared" si="109"/>
        <v>199677.28354649662</v>
      </c>
      <c r="BJ22" s="168">
        <f t="shared" si="109"/>
        <v>207462.1085935852</v>
      </c>
      <c r="BK22" s="168">
        <f t="shared" si="2"/>
        <v>200000</v>
      </c>
      <c r="BL22" s="168">
        <f t="shared" si="3"/>
        <v>86786.467979663343</v>
      </c>
      <c r="BM22" s="168">
        <f t="shared" si="4"/>
        <v>57065.563898343113</v>
      </c>
      <c r="BN22" s="168">
        <f t="shared" si="5"/>
        <v>69519.480159585495</v>
      </c>
      <c r="BO22" s="168">
        <f t="shared" si="6"/>
        <v>123446.60055010385</v>
      </c>
      <c r="BP22" s="168">
        <f t="shared" si="7"/>
        <v>207462.1085935852</v>
      </c>
    </row>
    <row r="23" spans="1:68">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row>
    <row r="24" spans="1:68">
      <c r="A24" s="169" t="s">
        <v>457</v>
      </c>
      <c r="B24" s="169"/>
    </row>
    <row r="25" spans="1:68">
      <c r="A25" s="170" t="s">
        <v>183</v>
      </c>
      <c r="B25" s="170">
        <f>'Debt &amp; Equity'!C17</f>
        <v>35360.633448930661</v>
      </c>
      <c r="C25" s="170">
        <f>'Debt &amp; Equity'!D17</f>
        <v>35537.436616175321</v>
      </c>
      <c r="D25" s="170">
        <f>'Debt &amp; Equity'!E17</f>
        <v>35715.123799256202</v>
      </c>
      <c r="E25" s="170">
        <f>'Debt &amp; Equity'!F17</f>
        <v>35893.69941825248</v>
      </c>
      <c r="F25" s="170">
        <f>'Debt &amp; Equity'!G17</f>
        <v>36073.167915343744</v>
      </c>
      <c r="G25" s="170">
        <f>'Debt &amp; Equity'!H17</f>
        <v>36253.533754920456</v>
      </c>
      <c r="H25" s="170">
        <f>'Debt &amp; Equity'!I17</f>
        <v>36434.801423695062</v>
      </c>
      <c r="I25" s="170">
        <f>'Debt &amp; Equity'!J17</f>
        <v>36616.975430813538</v>
      </c>
      <c r="J25" s="170">
        <f>'Debt &amp; Equity'!K17</f>
        <v>36800.0603079676</v>
      </c>
      <c r="K25" s="170">
        <f>'Debt &amp; Equity'!L17</f>
        <v>36984.06060950744</v>
      </c>
      <c r="L25" s="170">
        <f>'Debt &amp; Equity'!M17</f>
        <v>37168.98091255498</v>
      </c>
      <c r="M25" s="170">
        <f>'Debt &amp; Equity'!N17</f>
        <v>37354.825817117759</v>
      </c>
      <c r="N25" s="170">
        <f>'Debt &amp; Equity'!O17</f>
        <v>37541.599946203343</v>
      </c>
      <c r="O25" s="170">
        <f>'Debt &amp; Equity'!P17</f>
        <v>37729.307945934357</v>
      </c>
      <c r="P25" s="170">
        <f>'Debt &amp; Equity'!Q17</f>
        <v>37917.954485664042</v>
      </c>
      <c r="Q25" s="170">
        <f>'Debt &amp; Equity'!R17</f>
        <v>38107.544258092363</v>
      </c>
      <c r="R25" s="170">
        <f>'Debt &amp; Equity'!S17</f>
        <v>38298.081979382827</v>
      </c>
      <c r="S25" s="170">
        <f>'Debt &amp; Equity'!T17</f>
        <v>38489.572389279732</v>
      </c>
      <c r="T25" s="170">
        <f>'Debt &amp; Equity'!U17</f>
        <v>38682.020251226131</v>
      </c>
      <c r="U25" s="170">
        <f>'Debt &amp; Equity'!V17</f>
        <v>38875.430352482261</v>
      </c>
      <c r="V25" s="170">
        <f>'Debt &amp; Equity'!W17</f>
        <v>39069.807504244673</v>
      </c>
      <c r="W25" s="170">
        <f>'Debt &amp; Equity'!X17</f>
        <v>39265.156541765893</v>
      </c>
      <c r="X25" s="170">
        <f>'Debt &amp; Equity'!Y17</f>
        <v>39461.482324474724</v>
      </c>
      <c r="Y25" s="170">
        <f>'Debt &amp; Equity'!Z17</f>
        <v>39658.789736097096</v>
      </c>
      <c r="Z25" s="170">
        <f>'Debt &amp; Equity'!AA17</f>
        <v>39857.083684777586</v>
      </c>
      <c r="AA25" s="170">
        <f>'Debt &amp; Equity'!AB17</f>
        <v>40056.369103201469</v>
      </c>
      <c r="AB25" s="170">
        <f>'Debt &amp; Equity'!AC17</f>
        <v>40256.650948717477</v>
      </c>
      <c r="AC25" s="170">
        <f>'Debt &amp; Equity'!AD17</f>
        <v>40457.934203461053</v>
      </c>
      <c r="AD25" s="170">
        <f>'Debt &amp; Equity'!AE17</f>
        <v>40660.223874478368</v>
      </c>
      <c r="AE25" s="170">
        <f>'Debt &amp; Equity'!AF17</f>
        <v>40863.524993850762</v>
      </c>
      <c r="AF25" s="170">
        <f>'Debt &amp; Equity'!AG17</f>
        <v>41067.842618820017</v>
      </c>
      <c r="AG25" s="170">
        <f>'Debt &amp; Equity'!AH17</f>
        <v>41273.181831914109</v>
      </c>
      <c r="AH25" s="170">
        <f>'Debt &amp; Equity'!AI17</f>
        <v>41479.547741073678</v>
      </c>
      <c r="AI25" s="170">
        <f>'Debt &amp; Equity'!AJ17</f>
        <v>41686.945479779046</v>
      </c>
      <c r="AJ25" s="170">
        <f>'Debt &amp; Equity'!AK17</f>
        <v>41895.380207177943</v>
      </c>
      <c r="AK25" s="170">
        <f>'Debt &amp; Equity'!AL17</f>
        <v>42104.85710821383</v>
      </c>
      <c r="AL25" s="170">
        <f>'Debt &amp; Equity'!AM17</f>
        <v>42315.381393754906</v>
      </c>
      <c r="AM25" s="170">
        <f>'Debt &amp; Equity'!AN17</f>
        <v>42526.95830072368</v>
      </c>
      <c r="AN25" s="170">
        <f>'Debt &amp; Equity'!AO17</f>
        <v>42739.593092227304</v>
      </c>
      <c r="AO25" s="170">
        <f>'Debt &amp; Equity'!AP17</f>
        <v>42953.291057688446</v>
      </c>
      <c r="AP25" s="170">
        <f>'Debt &amp; Equity'!AQ17</f>
        <v>43168.057512976884</v>
      </c>
      <c r="AQ25" s="170">
        <f>'Debt &amp; Equity'!AR17</f>
        <v>43383.897800541759</v>
      </c>
      <c r="AR25" s="170">
        <f>'Debt &amp; Equity'!AS17</f>
        <v>43600.817289544466</v>
      </c>
      <c r="AS25" s="170">
        <f>'Debt &amp; Equity'!AT17</f>
        <v>43818.821375992193</v>
      </c>
      <c r="AT25" s="170">
        <f>'Debt &amp; Equity'!AU17</f>
        <v>44037.915482872151</v>
      </c>
      <c r="AU25" s="170">
        <f>'Debt &amp; Equity'!AV17</f>
        <v>44258.105060286514</v>
      </c>
      <c r="AV25" s="170">
        <f>'Debt &amp; Equity'!AW17</f>
        <v>44479.395585587939</v>
      </c>
      <c r="AW25" s="170">
        <f>'Debt &amp; Equity'!AX17</f>
        <v>44701.792563515883</v>
      </c>
      <c r="AX25" s="170">
        <f>'Debt &amp; Equity'!AY17</f>
        <v>44925.301526333467</v>
      </c>
      <c r="AY25" s="170">
        <f>'Debt &amp; Equity'!AZ17</f>
        <v>41283.367728079553</v>
      </c>
      <c r="AZ25" s="170">
        <f>'Debt &amp; Equity'!BA17</f>
        <v>37623.224260834366</v>
      </c>
      <c r="BA25" s="170">
        <f>'Debt &amp; Equity'!BB17</f>
        <v>33944.780076252959</v>
      </c>
      <c r="BB25" s="170">
        <f>'Debt &amp; Equity'!BC17</f>
        <v>30247.943670748638</v>
      </c>
      <c r="BC25" s="170">
        <f>'Debt &amp; Equity'!BD17</f>
        <v>26532.6230832168</v>
      </c>
      <c r="BD25" s="170">
        <f>'Debt &amp; Equity'!BE17</f>
        <v>22798.725892747301</v>
      </c>
      <c r="BE25" s="170">
        <f>'Debt &amp; Equity'!BF17</f>
        <v>19046.159216325454</v>
      </c>
      <c r="BF25" s="170">
        <f>'Debt &amp; Equity'!BG17</f>
        <v>15274.829706521496</v>
      </c>
      <c r="BG25" s="170">
        <f>'Debt &amp; Equity'!BH17</f>
        <v>11484.643549168521</v>
      </c>
      <c r="BH25" s="170">
        <f>'Debt &amp; Equity'!BI17</f>
        <v>7675.5064610287809</v>
      </c>
      <c r="BI25" s="170">
        <f>'Debt &amp; Equity'!BJ17</f>
        <v>3847.3236874483414</v>
      </c>
      <c r="BJ25" s="170">
        <f>'Debt &amp; Equity'!BK17</f>
        <v>0</v>
      </c>
      <c r="BK25" s="170">
        <f t="shared" si="2"/>
        <v>35360.633448930661</v>
      </c>
      <c r="BL25" s="170">
        <f t="shared" si="3"/>
        <v>37541.599946203343</v>
      </c>
      <c r="BM25" s="170">
        <f t="shared" si="4"/>
        <v>39857.083684777586</v>
      </c>
      <c r="BN25" s="170">
        <f t="shared" si="5"/>
        <v>42315.381393754906</v>
      </c>
      <c r="BO25" s="170">
        <f t="shared" si="6"/>
        <v>44925.301526333467</v>
      </c>
      <c r="BP25" s="170">
        <f t="shared" si="7"/>
        <v>0</v>
      </c>
    </row>
    <row r="26" spans="1:68">
      <c r="A26" s="170" t="s">
        <v>180</v>
      </c>
      <c r="B26" s="170"/>
      <c r="BK26">
        <f t="shared" si="2"/>
        <v>0</v>
      </c>
      <c r="BL26">
        <f t="shared" si="3"/>
        <v>0</v>
      </c>
      <c r="BM26">
        <f t="shared" si="4"/>
        <v>0</v>
      </c>
      <c r="BN26">
        <f t="shared" si="5"/>
        <v>0</v>
      </c>
      <c r="BO26">
        <f t="shared" si="6"/>
        <v>0</v>
      </c>
      <c r="BP26">
        <f t="shared" si="7"/>
        <v>0</v>
      </c>
    </row>
    <row r="27" spans="1:68">
      <c r="A27" s="170" t="s">
        <v>181</v>
      </c>
      <c r="B27" s="170"/>
      <c r="BK27">
        <f t="shared" si="2"/>
        <v>0</v>
      </c>
      <c r="BL27">
        <f t="shared" si="3"/>
        <v>0</v>
      </c>
      <c r="BM27">
        <f t="shared" si="4"/>
        <v>0</v>
      </c>
      <c r="BN27">
        <f t="shared" si="5"/>
        <v>0</v>
      </c>
      <c r="BO27">
        <f t="shared" si="6"/>
        <v>0</v>
      </c>
      <c r="BP27">
        <f t="shared" si="7"/>
        <v>0</v>
      </c>
    </row>
    <row r="28" spans="1:68">
      <c r="A28" s="170" t="s">
        <v>182</v>
      </c>
      <c r="B28" s="170"/>
      <c r="BK28">
        <f t="shared" si="2"/>
        <v>0</v>
      </c>
      <c r="BL28">
        <f t="shared" si="3"/>
        <v>0</v>
      </c>
      <c r="BM28">
        <f t="shared" si="4"/>
        <v>0</v>
      </c>
      <c r="BN28">
        <f t="shared" si="5"/>
        <v>0</v>
      </c>
      <c r="BO28">
        <f t="shared" si="6"/>
        <v>0</v>
      </c>
      <c r="BP28">
        <f t="shared" si="7"/>
        <v>0</v>
      </c>
    </row>
    <row r="29" spans="1:68">
      <c r="A29" s="170" t="s">
        <v>191</v>
      </c>
      <c r="B29" s="170"/>
      <c r="BK29">
        <f t="shared" si="2"/>
        <v>0</v>
      </c>
      <c r="BL29">
        <f t="shared" si="3"/>
        <v>0</v>
      </c>
      <c r="BM29">
        <f t="shared" si="4"/>
        <v>0</v>
      </c>
      <c r="BN29">
        <f t="shared" si="5"/>
        <v>0</v>
      </c>
      <c r="BO29">
        <f t="shared" si="6"/>
        <v>0</v>
      </c>
      <c r="BP29">
        <f t="shared" si="7"/>
        <v>0</v>
      </c>
    </row>
    <row r="30" spans="1:68">
      <c r="A30" s="167"/>
      <c r="B30" s="167"/>
      <c r="BK30">
        <f t="shared" si="2"/>
        <v>0</v>
      </c>
      <c r="BL30">
        <f t="shared" si="3"/>
        <v>0</v>
      </c>
      <c r="BM30">
        <f t="shared" si="4"/>
        <v>0</v>
      </c>
      <c r="BN30">
        <f t="shared" si="5"/>
        <v>0</v>
      </c>
      <c r="BO30">
        <f t="shared" si="6"/>
        <v>0</v>
      </c>
      <c r="BP30">
        <f t="shared" si="7"/>
        <v>0</v>
      </c>
    </row>
    <row r="31" spans="1:68">
      <c r="A31" s="168" t="s">
        <v>184</v>
      </c>
      <c r="B31" s="168">
        <f>SUM(B25:B29)</f>
        <v>35360.633448930661</v>
      </c>
      <c r="C31" s="168">
        <f t="shared" ref="C31:N31" si="110">SUM(C25:C29)</f>
        <v>35537.436616175321</v>
      </c>
      <c r="D31" s="168">
        <f t="shared" si="110"/>
        <v>35715.123799256202</v>
      </c>
      <c r="E31" s="168">
        <f t="shared" si="110"/>
        <v>35893.69941825248</v>
      </c>
      <c r="F31" s="168">
        <f t="shared" si="110"/>
        <v>36073.167915343744</v>
      </c>
      <c r="G31" s="168">
        <f t="shared" si="110"/>
        <v>36253.533754920456</v>
      </c>
      <c r="H31" s="168">
        <f t="shared" si="110"/>
        <v>36434.801423695062</v>
      </c>
      <c r="I31" s="168">
        <f t="shared" si="110"/>
        <v>36616.975430813538</v>
      </c>
      <c r="J31" s="168">
        <f t="shared" si="110"/>
        <v>36800.0603079676</v>
      </c>
      <c r="K31" s="168">
        <f t="shared" si="110"/>
        <v>36984.06060950744</v>
      </c>
      <c r="L31" s="168">
        <f t="shared" si="110"/>
        <v>37168.98091255498</v>
      </c>
      <c r="M31" s="168">
        <f t="shared" si="110"/>
        <v>37354.825817117759</v>
      </c>
      <c r="N31" s="168">
        <f t="shared" si="110"/>
        <v>37541.599946203343</v>
      </c>
      <c r="O31" s="168">
        <f t="shared" ref="O31:BJ31" si="111">SUM(O25:O29)</f>
        <v>37729.307945934357</v>
      </c>
      <c r="P31" s="168">
        <f t="shared" si="111"/>
        <v>37917.954485664042</v>
      </c>
      <c r="Q31" s="168">
        <f t="shared" si="111"/>
        <v>38107.544258092363</v>
      </c>
      <c r="R31" s="168">
        <f t="shared" si="111"/>
        <v>38298.081979382827</v>
      </c>
      <c r="S31" s="168">
        <f t="shared" si="111"/>
        <v>38489.572389279732</v>
      </c>
      <c r="T31" s="168">
        <f t="shared" si="111"/>
        <v>38682.020251226131</v>
      </c>
      <c r="U31" s="168">
        <f t="shared" si="111"/>
        <v>38875.430352482261</v>
      </c>
      <c r="V31" s="168">
        <f t="shared" si="111"/>
        <v>39069.807504244673</v>
      </c>
      <c r="W31" s="168">
        <f t="shared" si="111"/>
        <v>39265.156541765893</v>
      </c>
      <c r="X31" s="168">
        <f t="shared" si="111"/>
        <v>39461.482324474724</v>
      </c>
      <c r="Y31" s="168">
        <f t="shared" si="111"/>
        <v>39658.789736097096</v>
      </c>
      <c r="Z31" s="168">
        <f t="shared" si="111"/>
        <v>39857.083684777586</v>
      </c>
      <c r="AA31" s="168">
        <f t="shared" si="111"/>
        <v>40056.369103201469</v>
      </c>
      <c r="AB31" s="168">
        <f t="shared" si="111"/>
        <v>40256.650948717477</v>
      </c>
      <c r="AC31" s="168">
        <f t="shared" si="111"/>
        <v>40457.934203461053</v>
      </c>
      <c r="AD31" s="168">
        <f t="shared" si="111"/>
        <v>40660.223874478368</v>
      </c>
      <c r="AE31" s="168">
        <f t="shared" si="111"/>
        <v>40863.524993850762</v>
      </c>
      <c r="AF31" s="168">
        <f t="shared" si="111"/>
        <v>41067.842618820017</v>
      </c>
      <c r="AG31" s="168">
        <f t="shared" si="111"/>
        <v>41273.181831914109</v>
      </c>
      <c r="AH31" s="168">
        <f t="shared" si="111"/>
        <v>41479.547741073678</v>
      </c>
      <c r="AI31" s="168">
        <f t="shared" si="111"/>
        <v>41686.945479779046</v>
      </c>
      <c r="AJ31" s="168">
        <f t="shared" si="111"/>
        <v>41895.380207177943</v>
      </c>
      <c r="AK31" s="168">
        <f t="shared" si="111"/>
        <v>42104.85710821383</v>
      </c>
      <c r="AL31" s="168">
        <f t="shared" si="111"/>
        <v>42315.381393754906</v>
      </c>
      <c r="AM31" s="168">
        <f t="shared" si="111"/>
        <v>42526.95830072368</v>
      </c>
      <c r="AN31" s="168">
        <f t="shared" si="111"/>
        <v>42739.593092227304</v>
      </c>
      <c r="AO31" s="168">
        <f t="shared" si="111"/>
        <v>42953.291057688446</v>
      </c>
      <c r="AP31" s="168">
        <f t="shared" si="111"/>
        <v>43168.057512976884</v>
      </c>
      <c r="AQ31" s="168">
        <f t="shared" si="111"/>
        <v>43383.897800541759</v>
      </c>
      <c r="AR31" s="168">
        <f t="shared" si="111"/>
        <v>43600.817289544466</v>
      </c>
      <c r="AS31" s="168">
        <f t="shared" si="111"/>
        <v>43818.821375992193</v>
      </c>
      <c r="AT31" s="168">
        <f t="shared" si="111"/>
        <v>44037.915482872151</v>
      </c>
      <c r="AU31" s="168">
        <f t="shared" si="111"/>
        <v>44258.105060286514</v>
      </c>
      <c r="AV31" s="168">
        <f t="shared" si="111"/>
        <v>44479.395585587939</v>
      </c>
      <c r="AW31" s="168">
        <f t="shared" si="111"/>
        <v>44701.792563515883</v>
      </c>
      <c r="AX31" s="168">
        <f t="shared" si="111"/>
        <v>44925.301526333467</v>
      </c>
      <c r="AY31" s="168">
        <f t="shared" si="111"/>
        <v>41283.367728079553</v>
      </c>
      <c r="AZ31" s="168">
        <f t="shared" si="111"/>
        <v>37623.224260834366</v>
      </c>
      <c r="BA31" s="168">
        <f t="shared" si="111"/>
        <v>33944.780076252959</v>
      </c>
      <c r="BB31" s="168">
        <f t="shared" si="111"/>
        <v>30247.943670748638</v>
      </c>
      <c r="BC31" s="168">
        <f t="shared" si="111"/>
        <v>26532.6230832168</v>
      </c>
      <c r="BD31" s="168">
        <f t="shared" si="111"/>
        <v>22798.725892747301</v>
      </c>
      <c r="BE31" s="168">
        <f t="shared" si="111"/>
        <v>19046.159216325454</v>
      </c>
      <c r="BF31" s="168">
        <f t="shared" si="111"/>
        <v>15274.829706521496</v>
      </c>
      <c r="BG31" s="168">
        <f t="shared" si="111"/>
        <v>11484.643549168521</v>
      </c>
      <c r="BH31" s="168">
        <f t="shared" si="111"/>
        <v>7675.5064610287809</v>
      </c>
      <c r="BI31" s="168">
        <f t="shared" si="111"/>
        <v>3847.3236874483414</v>
      </c>
      <c r="BJ31" s="168">
        <f t="shared" si="111"/>
        <v>0</v>
      </c>
      <c r="BK31" s="168">
        <f t="shared" si="2"/>
        <v>35360.633448930661</v>
      </c>
      <c r="BL31" s="168">
        <f t="shared" si="3"/>
        <v>37541.599946203343</v>
      </c>
      <c r="BM31" s="168">
        <f t="shared" si="4"/>
        <v>39857.083684777586</v>
      </c>
      <c r="BN31" s="168">
        <f t="shared" si="5"/>
        <v>42315.381393754906</v>
      </c>
      <c r="BO31" s="168">
        <f t="shared" si="6"/>
        <v>44925.301526333467</v>
      </c>
      <c r="BP31" s="168">
        <f t="shared" si="7"/>
        <v>0</v>
      </c>
    </row>
    <row r="32" spans="1:68">
      <c r="A32" s="167"/>
      <c r="B32" s="167"/>
    </row>
    <row r="33" spans="1:68">
      <c r="A33" s="170" t="s">
        <v>185</v>
      </c>
      <c r="B33" s="170">
        <f>'Debt &amp; Equity'!C18</f>
        <v>164639.36655106934</v>
      </c>
      <c r="C33" s="170">
        <f>'Debt &amp; Equity'!D18</f>
        <v>161596.00307793909</v>
      </c>
      <c r="D33" s="170">
        <f>'Debt &amp; Equity'!E18</f>
        <v>158537.42278744321</v>
      </c>
      <c r="E33" s="170">
        <f>'Debt &amp; Equity'!F18</f>
        <v>155463.54959549484</v>
      </c>
      <c r="F33" s="170">
        <f>'Debt &amp; Equity'!G18</f>
        <v>152374.30703758672</v>
      </c>
      <c r="G33" s="170">
        <f>'Debt &amp; Equity'!H18</f>
        <v>149269.61826688907</v>
      </c>
      <c r="H33" s="170">
        <f>'Debt &amp; Equity'!I18</f>
        <v>146149.40605233796</v>
      </c>
      <c r="I33" s="170">
        <f>'Debt &amp; Equity'!J18</f>
        <v>143013.59277671407</v>
      </c>
      <c r="J33" s="170">
        <f>'Debt &amp; Equity'!K18</f>
        <v>139862.10043471205</v>
      </c>
      <c r="K33" s="170">
        <f>'Debt &amp; Equity'!L18</f>
        <v>136694.85063100001</v>
      </c>
      <c r="L33" s="170">
        <f>'Debt &amp; Equity'!M18</f>
        <v>133511.76457826942</v>
      </c>
      <c r="M33" s="170">
        <f>'Debt &amp; Equity'!N18</f>
        <v>130312.76309527518</v>
      </c>
      <c r="N33" s="170">
        <f>'Debt &amp; Equity'!O18</f>
        <v>127097.76660486596</v>
      </c>
      <c r="O33" s="170">
        <f>'Debt &amp; Equity'!P18</f>
        <v>123866.69513200471</v>
      </c>
      <c r="P33" s="170">
        <f>'Debt &amp; Equity'!Q18</f>
        <v>120619.46830177914</v>
      </c>
      <c r="Q33" s="170">
        <f>'Debt &amp; Equity'!R18</f>
        <v>117356.00533740246</v>
      </c>
      <c r="R33" s="170">
        <f>'Debt &amp; Equity'!S18</f>
        <v>114076.22505820387</v>
      </c>
      <c r="S33" s="170">
        <f>'Debt &amp; Equity'!T18</f>
        <v>110780.04587760931</v>
      </c>
      <c r="T33" s="170">
        <f>'Debt &amp; Equity'!U18</f>
        <v>107467.38580111177</v>
      </c>
      <c r="U33" s="170">
        <f>'Debt &amp; Equity'!V18</f>
        <v>104138.16242423175</v>
      </c>
      <c r="V33" s="170">
        <f>'Debt &amp; Equity'!W18</f>
        <v>100792.29293046732</v>
      </c>
      <c r="W33" s="170">
        <f>'Debt &amp; Equity'!X18</f>
        <v>97429.694089234079</v>
      </c>
      <c r="X33" s="170">
        <f>'Debt &amp; Equity'!Y18</f>
        <v>94050.282253794663</v>
      </c>
      <c r="Y33" s="170">
        <f>'Debt &amp; Equity'!Z18</f>
        <v>90653.973359178053</v>
      </c>
      <c r="Z33" s="170">
        <f>'Debt &amp; Equity'!AA18</f>
        <v>87240.682920088351</v>
      </c>
      <c r="AA33" s="170">
        <f>'Debt &amp; Equity'!AB18</f>
        <v>83810.326028803218</v>
      </c>
      <c r="AB33" s="170">
        <f>'Debt &amp; Equity'!AC18</f>
        <v>80362.817353061662</v>
      </c>
      <c r="AC33" s="170">
        <f>'Debt &amp; Equity'!AD18</f>
        <v>76898.071133941412</v>
      </c>
      <c r="AD33" s="170">
        <f>'Debt &amp; Equity'!AE18</f>
        <v>73416.001183725515</v>
      </c>
      <c r="AE33" s="170">
        <f>'Debt &amp; Equity'!AF18</f>
        <v>69916.520883758552</v>
      </c>
      <c r="AF33" s="170">
        <f>'Debt &amp; Equity'!AG18</f>
        <v>66399.54318229176</v>
      </c>
      <c r="AG33" s="170">
        <f>'Debt &amp; Equity'!AH18</f>
        <v>62864.980592317654</v>
      </c>
      <c r="AH33" s="170">
        <f>'Debt &amp; Equity'!AI18</f>
        <v>59312.745189393667</v>
      </c>
      <c r="AI33" s="170">
        <f>'Debt &amp; Equity'!AJ18</f>
        <v>55742.748609455048</v>
      </c>
      <c r="AJ33" s="170">
        <f>'Debt &amp; Equity'!AK18</f>
        <v>52154.902046616735</v>
      </c>
      <c r="AK33" s="170">
        <f>'Debt &amp; Equity'!AL18</f>
        <v>48549.116250964238</v>
      </c>
      <c r="AL33" s="170">
        <f>'Debt &amp; Equity'!AM18</f>
        <v>44925.301526333475</v>
      </c>
      <c r="AM33" s="170">
        <f>'Debt &amp; Equity'!AN18</f>
        <v>41283.367728079553</v>
      </c>
      <c r="AN33" s="170">
        <f>'Debt &amp; Equity'!AO18</f>
        <v>37623.224260834359</v>
      </c>
      <c r="AO33" s="170">
        <f>'Debt &amp; Equity'!AP18</f>
        <v>33944.780076252937</v>
      </c>
      <c r="AP33" s="170">
        <f>'Debt &amp; Equity'!AQ18</f>
        <v>30247.943670748617</v>
      </c>
      <c r="AQ33" s="170">
        <f>'Debt &amp; Equity'!AR18</f>
        <v>26532.623083216793</v>
      </c>
      <c r="AR33" s="170">
        <f>'Debt &amp; Equity'!AS18</f>
        <v>22798.725892747294</v>
      </c>
      <c r="AS33" s="170">
        <f>'Debt &amp; Equity'!AT18</f>
        <v>19046.159216325446</v>
      </c>
      <c r="AT33" s="170">
        <f>'Debt &amp; Equity'!AU18</f>
        <v>15274.829706521494</v>
      </c>
      <c r="AU33" s="170">
        <f>'Debt &amp; Equity'!AV18</f>
        <v>11484.643549168519</v>
      </c>
      <c r="AV33" s="170">
        <f>'Debt &amp; Equity'!AW18</f>
        <v>7675.5064610287882</v>
      </c>
      <c r="AW33" s="170">
        <f>'Debt &amp; Equity'!AX18</f>
        <v>3847.3236874483482</v>
      </c>
      <c r="AX33" s="170">
        <f>'Debt &amp; Equity'!AY18</f>
        <v>0</v>
      </c>
      <c r="AY33" s="170">
        <f>'Debt &amp; Equity'!AZ18</f>
        <v>0</v>
      </c>
      <c r="AZ33" s="170">
        <f>'Debt &amp; Equity'!BA18</f>
        <v>0</v>
      </c>
      <c r="BA33" s="170">
        <f>'Debt &amp; Equity'!BB18</f>
        <v>0</v>
      </c>
      <c r="BB33" s="170">
        <f>'Debt &amp; Equity'!BC18</f>
        <v>0</v>
      </c>
      <c r="BC33" s="170">
        <f>'Debt &amp; Equity'!BD18</f>
        <v>0</v>
      </c>
      <c r="BD33" s="170">
        <f>'Debt &amp; Equity'!BE18</f>
        <v>0</v>
      </c>
      <c r="BE33" s="170">
        <f>'Debt &amp; Equity'!BF18</f>
        <v>0</v>
      </c>
      <c r="BF33" s="170">
        <f>'Debt &amp; Equity'!BG18</f>
        <v>0</v>
      </c>
      <c r="BG33" s="170">
        <f>'Debt &amp; Equity'!BH18</f>
        <v>0</v>
      </c>
      <c r="BH33" s="170">
        <f>'Debt &amp; Equity'!BI18</f>
        <v>0</v>
      </c>
      <c r="BI33" s="170">
        <f>'Debt &amp; Equity'!BJ18</f>
        <v>0</v>
      </c>
      <c r="BJ33" s="170">
        <f>'Debt &amp; Equity'!BK18</f>
        <v>0</v>
      </c>
      <c r="BK33" s="170">
        <f t="shared" si="2"/>
        <v>164639.36655106934</v>
      </c>
      <c r="BL33" s="170">
        <f t="shared" si="3"/>
        <v>127097.76660486596</v>
      </c>
      <c r="BM33" s="170">
        <f t="shared" si="4"/>
        <v>87240.682920088351</v>
      </c>
      <c r="BN33" s="170">
        <f t="shared" si="5"/>
        <v>44925.301526333475</v>
      </c>
      <c r="BO33" s="170">
        <f t="shared" si="6"/>
        <v>0</v>
      </c>
      <c r="BP33" s="170">
        <f t="shared" si="7"/>
        <v>0</v>
      </c>
    </row>
    <row r="34" spans="1:68">
      <c r="A34" s="172" t="s">
        <v>186</v>
      </c>
      <c r="B34" s="172"/>
      <c r="BK34">
        <f t="shared" si="2"/>
        <v>0</v>
      </c>
      <c r="BL34">
        <f t="shared" si="3"/>
        <v>0</v>
      </c>
      <c r="BM34">
        <f t="shared" si="4"/>
        <v>0</v>
      </c>
      <c r="BN34">
        <f t="shared" si="5"/>
        <v>0</v>
      </c>
      <c r="BO34">
        <f t="shared" si="6"/>
        <v>0</v>
      </c>
      <c r="BP34">
        <f t="shared" si="7"/>
        <v>0</v>
      </c>
    </row>
    <row r="35" spans="1:68">
      <c r="A35" s="171"/>
      <c r="B35" s="171"/>
      <c r="BK35">
        <f t="shared" si="2"/>
        <v>0</v>
      </c>
      <c r="BL35">
        <f t="shared" si="3"/>
        <v>0</v>
      </c>
      <c r="BM35">
        <f t="shared" si="4"/>
        <v>0</v>
      </c>
      <c r="BN35">
        <f t="shared" si="5"/>
        <v>0</v>
      </c>
      <c r="BO35">
        <f t="shared" si="6"/>
        <v>0</v>
      </c>
      <c r="BP35">
        <f t="shared" si="7"/>
        <v>0</v>
      </c>
    </row>
    <row r="36" spans="1:68">
      <c r="A36" s="168" t="s">
        <v>124</v>
      </c>
      <c r="B36" s="168">
        <f t="shared" ref="B36:N36" si="112">SUM(B33:B34)+B31</f>
        <v>200000</v>
      </c>
      <c r="C36" s="168">
        <f t="shared" si="112"/>
        <v>197133.43969411441</v>
      </c>
      <c r="D36" s="168">
        <f t="shared" si="112"/>
        <v>194252.54658669941</v>
      </c>
      <c r="E36" s="168">
        <f t="shared" si="112"/>
        <v>191357.24901374732</v>
      </c>
      <c r="F36" s="168">
        <f t="shared" si="112"/>
        <v>188447.47495293047</v>
      </c>
      <c r="G36" s="168">
        <f t="shared" si="112"/>
        <v>185523.15202180954</v>
      </c>
      <c r="H36" s="168">
        <f t="shared" si="112"/>
        <v>182584.20747603301</v>
      </c>
      <c r="I36" s="168">
        <f t="shared" si="112"/>
        <v>179630.5682075276</v>
      </c>
      <c r="J36" s="168">
        <f t="shared" si="112"/>
        <v>176662.16074267964</v>
      </c>
      <c r="K36" s="168">
        <f t="shared" si="112"/>
        <v>173678.91124050744</v>
      </c>
      <c r="L36" s="168">
        <f t="shared" si="112"/>
        <v>170680.7454908244</v>
      </c>
      <c r="M36" s="168">
        <f t="shared" si="112"/>
        <v>167667.58891239294</v>
      </c>
      <c r="N36" s="168">
        <f t="shared" si="112"/>
        <v>164639.36655106931</v>
      </c>
      <c r="O36" s="168">
        <f t="shared" ref="O36:BJ36" si="113">SUM(O33:O34)+O31</f>
        <v>161596.00307793907</v>
      </c>
      <c r="P36" s="168">
        <f t="shared" si="113"/>
        <v>158537.42278744318</v>
      </c>
      <c r="Q36" s="168">
        <f t="shared" si="113"/>
        <v>155463.54959549481</v>
      </c>
      <c r="R36" s="168">
        <f t="shared" si="113"/>
        <v>152374.3070375867</v>
      </c>
      <c r="S36" s="168">
        <f t="shared" si="113"/>
        <v>149269.61826688904</v>
      </c>
      <c r="T36" s="168">
        <f t="shared" si="113"/>
        <v>146149.4060523379</v>
      </c>
      <c r="U36" s="168">
        <f t="shared" si="113"/>
        <v>143013.59277671401</v>
      </c>
      <c r="V36" s="168">
        <f t="shared" si="113"/>
        <v>139862.10043471199</v>
      </c>
      <c r="W36" s="168">
        <f t="shared" si="113"/>
        <v>136694.85063099998</v>
      </c>
      <c r="X36" s="168">
        <f t="shared" si="113"/>
        <v>133511.76457826939</v>
      </c>
      <c r="Y36" s="168">
        <f t="shared" si="113"/>
        <v>130312.76309527515</v>
      </c>
      <c r="Z36" s="168">
        <f t="shared" si="113"/>
        <v>127097.76660486593</v>
      </c>
      <c r="AA36" s="168">
        <f t="shared" si="113"/>
        <v>123866.69513200468</v>
      </c>
      <c r="AB36" s="168">
        <f t="shared" si="113"/>
        <v>120619.46830177914</v>
      </c>
      <c r="AC36" s="168">
        <f t="shared" si="113"/>
        <v>117356.00533740246</v>
      </c>
      <c r="AD36" s="168">
        <f t="shared" si="113"/>
        <v>114076.22505820388</v>
      </c>
      <c r="AE36" s="168">
        <f t="shared" si="113"/>
        <v>110780.04587760931</v>
      </c>
      <c r="AF36" s="168">
        <f t="shared" si="113"/>
        <v>107467.38580111178</v>
      </c>
      <c r="AG36" s="168">
        <f t="shared" si="113"/>
        <v>104138.16242423176</v>
      </c>
      <c r="AH36" s="168">
        <f t="shared" si="113"/>
        <v>100792.29293046735</v>
      </c>
      <c r="AI36" s="168">
        <f t="shared" si="113"/>
        <v>97429.694089234094</v>
      </c>
      <c r="AJ36" s="168">
        <f t="shared" si="113"/>
        <v>94050.282253794678</v>
      </c>
      <c r="AK36" s="168">
        <f t="shared" si="113"/>
        <v>90653.973359178068</v>
      </c>
      <c r="AL36" s="168">
        <f t="shared" si="113"/>
        <v>87240.68292008838</v>
      </c>
      <c r="AM36" s="168">
        <f t="shared" si="113"/>
        <v>83810.326028803232</v>
      </c>
      <c r="AN36" s="168">
        <f t="shared" si="113"/>
        <v>80362.817353061662</v>
      </c>
      <c r="AO36" s="168">
        <f t="shared" si="113"/>
        <v>76898.071133941383</v>
      </c>
      <c r="AP36" s="168">
        <f t="shared" si="113"/>
        <v>73416.001183725501</v>
      </c>
      <c r="AQ36" s="168">
        <f t="shared" si="113"/>
        <v>69916.520883758552</v>
      </c>
      <c r="AR36" s="168">
        <f t="shared" si="113"/>
        <v>66399.54318229176</v>
      </c>
      <c r="AS36" s="168">
        <f t="shared" si="113"/>
        <v>62864.980592317639</v>
      </c>
      <c r="AT36" s="168">
        <f t="shared" si="113"/>
        <v>59312.745189393645</v>
      </c>
      <c r="AU36" s="168">
        <f t="shared" si="113"/>
        <v>55742.748609455033</v>
      </c>
      <c r="AV36" s="168">
        <f t="shared" si="113"/>
        <v>52154.902046616728</v>
      </c>
      <c r="AW36" s="168">
        <f t="shared" si="113"/>
        <v>48549.116250964231</v>
      </c>
      <c r="AX36" s="168">
        <f t="shared" si="113"/>
        <v>44925.301526333467</v>
      </c>
      <c r="AY36" s="168">
        <f t="shared" si="113"/>
        <v>41283.367728079553</v>
      </c>
      <c r="AZ36" s="168">
        <f t="shared" si="113"/>
        <v>37623.224260834366</v>
      </c>
      <c r="BA36" s="168">
        <f t="shared" si="113"/>
        <v>33944.780076252959</v>
      </c>
      <c r="BB36" s="168">
        <f t="shared" si="113"/>
        <v>30247.943670748638</v>
      </c>
      <c r="BC36" s="168">
        <f t="shared" si="113"/>
        <v>26532.6230832168</v>
      </c>
      <c r="BD36" s="168">
        <f t="shared" si="113"/>
        <v>22798.725892747301</v>
      </c>
      <c r="BE36" s="168">
        <f t="shared" si="113"/>
        <v>19046.159216325454</v>
      </c>
      <c r="BF36" s="168">
        <f t="shared" si="113"/>
        <v>15274.829706521496</v>
      </c>
      <c r="BG36" s="168">
        <f t="shared" si="113"/>
        <v>11484.643549168521</v>
      </c>
      <c r="BH36" s="168">
        <f t="shared" si="113"/>
        <v>7675.5064610287809</v>
      </c>
      <c r="BI36" s="168">
        <f t="shared" si="113"/>
        <v>3847.3236874483414</v>
      </c>
      <c r="BJ36" s="168">
        <f t="shared" si="113"/>
        <v>0</v>
      </c>
      <c r="BK36" s="168">
        <f t="shared" si="2"/>
        <v>200000</v>
      </c>
      <c r="BL36" s="168">
        <f t="shared" si="3"/>
        <v>164639.36655106931</v>
      </c>
      <c r="BM36" s="168">
        <f t="shared" si="4"/>
        <v>127097.76660486593</v>
      </c>
      <c r="BN36" s="168">
        <f t="shared" si="5"/>
        <v>87240.68292008838</v>
      </c>
      <c r="BO36" s="168">
        <f t="shared" si="6"/>
        <v>44925.301526333467</v>
      </c>
      <c r="BP36" s="168">
        <f t="shared" si="7"/>
        <v>0</v>
      </c>
    </row>
    <row r="37" spans="1:68">
      <c r="A37" s="167"/>
      <c r="B37" s="167"/>
    </row>
    <row r="38" spans="1:68">
      <c r="A38" s="170" t="s">
        <v>187</v>
      </c>
      <c r="B38" s="170">
        <f>'Debt &amp; Equity'!C34</f>
        <v>0</v>
      </c>
      <c r="C38" s="170">
        <f>'Debt &amp; Equity'!D34</f>
        <v>269.11009999999999</v>
      </c>
      <c r="D38" s="170">
        <f>'Debt &amp; Equity'!E34</f>
        <v>490.86177500000008</v>
      </c>
      <c r="E38" s="170">
        <f>'Debt &amp; Equity'!F34</f>
        <v>727.55277500000011</v>
      </c>
      <c r="F38" s="170">
        <f>'Debt &amp; Equity'!G34</f>
        <v>979.18310000000008</v>
      </c>
      <c r="G38" s="170">
        <f>'Debt &amp; Equity'!H34</f>
        <v>1245.7527500000001</v>
      </c>
      <c r="H38" s="170">
        <f>'Debt &amp; Equity'!I34</f>
        <v>1527.2617250000001</v>
      </c>
      <c r="I38" s="170">
        <f>'Debt &amp; Equity'!J34</f>
        <v>1823.7100250000001</v>
      </c>
      <c r="J38" s="170">
        <f>'Debt &amp; Equity'!K34</f>
        <v>2135.0976500000002</v>
      </c>
      <c r="K38" s="170">
        <f>'Debt &amp; Equity'!L34</f>
        <v>2461.4246000000003</v>
      </c>
      <c r="L38" s="170">
        <f>'Debt &amp; Equity'!M34</f>
        <v>2802.6908750000002</v>
      </c>
      <c r="M38" s="170">
        <f>'Debt &amp; Equity'!N34</f>
        <v>3158.8964750000005</v>
      </c>
      <c r="N38" s="170">
        <f>'Debt &amp; Equity'!O34</f>
        <v>3530.0414000000005</v>
      </c>
      <c r="O38" s="170">
        <f>'Debt &amp; Equity'!P34</f>
        <v>3916.1256500000009</v>
      </c>
      <c r="P38" s="170">
        <f>'Debt &amp; Equity'!Q34</f>
        <v>4317.149225000001</v>
      </c>
      <c r="Q38" s="170">
        <f>'Debt &amp; Equity'!R34</f>
        <v>4733.1121250000015</v>
      </c>
      <c r="R38" s="170">
        <f>'Debt &amp; Equity'!S34</f>
        <v>5164.0143500000013</v>
      </c>
      <c r="S38" s="170">
        <f>'Debt &amp; Equity'!T34</f>
        <v>5609.8559000000014</v>
      </c>
      <c r="T38" s="170">
        <f>'Debt &amp; Equity'!U34</f>
        <v>6070.6367750000018</v>
      </c>
      <c r="U38" s="170">
        <f>'Debt &amp; Equity'!V34</f>
        <v>6546.3569750000015</v>
      </c>
      <c r="V38" s="170">
        <f>'Debt &amp; Equity'!W34</f>
        <v>7037.0165000000015</v>
      </c>
      <c r="W38" s="170">
        <f>'Debt &amp; Equity'!X34</f>
        <v>7542.6153500000019</v>
      </c>
      <c r="X38" s="170">
        <f>'Debt &amp; Equity'!Y34</f>
        <v>8063.1535250000015</v>
      </c>
      <c r="Y38" s="170">
        <f>'Debt &amp; Equity'!Z34</f>
        <v>8598.6310250000024</v>
      </c>
      <c r="Z38" s="170">
        <f>'Debt &amp; Equity'!AA34</f>
        <v>9149.0478500000027</v>
      </c>
      <c r="AA38" s="170">
        <f>'Debt &amp; Equity'!AB34</f>
        <v>9714.4040000000023</v>
      </c>
      <c r="AB38" s="170">
        <f>'Debt &amp; Equity'!AC34</f>
        <v>10294.699475000003</v>
      </c>
      <c r="AC38" s="170">
        <f>'Debt &amp; Equity'!AD34</f>
        <v>10889.934275000003</v>
      </c>
      <c r="AD38" s="170">
        <f>'Debt &amp; Equity'!AE34</f>
        <v>11500.108400000003</v>
      </c>
      <c r="AE38" s="170">
        <f>'Debt &amp; Equity'!AF34</f>
        <v>12125.221850000004</v>
      </c>
      <c r="AF38" s="170">
        <f>'Debt &amp; Equity'!AG34</f>
        <v>12765.274625000004</v>
      </c>
      <c r="AG38" s="170">
        <f>'Debt &amp; Equity'!AH34</f>
        <v>13420.266725000003</v>
      </c>
      <c r="AH38" s="170">
        <f>'Debt &amp; Equity'!AI34</f>
        <v>14090.198150000004</v>
      </c>
      <c r="AI38" s="170">
        <f>'Debt &amp; Equity'!AJ34</f>
        <v>14775.068900000004</v>
      </c>
      <c r="AJ38" s="170">
        <f>'Debt &amp; Equity'!AK34</f>
        <v>15474.878975000003</v>
      </c>
      <c r="AK38" s="170">
        <f>'Debt &amp; Equity'!AL34</f>
        <v>16189.628375000004</v>
      </c>
      <c r="AL38" s="170">
        <f>'Debt &amp; Equity'!AM34</f>
        <v>16919.317100000004</v>
      </c>
      <c r="AM38" s="170">
        <f>'Debt &amp; Equity'!AN34</f>
        <v>17663.945150000003</v>
      </c>
      <c r="AN38" s="170">
        <f>'Debt &amp; Equity'!AO34</f>
        <v>18423.512525000002</v>
      </c>
      <c r="AO38" s="170">
        <f>'Debt &amp; Equity'!AP34</f>
        <v>19198.019225000004</v>
      </c>
      <c r="AP38" s="170">
        <f>'Debt &amp; Equity'!AQ34</f>
        <v>19987.465250000005</v>
      </c>
      <c r="AQ38" s="170">
        <f>'Debt &amp; Equity'!AR34</f>
        <v>20791.850600000005</v>
      </c>
      <c r="AR38" s="170">
        <f>'Debt &amp; Equity'!AS34</f>
        <v>21611.175275000005</v>
      </c>
      <c r="AS38" s="170">
        <f>'Debt &amp; Equity'!AT34</f>
        <v>22445.439275000004</v>
      </c>
      <c r="AT38" s="170">
        <f>'Debt &amp; Equity'!AU34</f>
        <v>23294.642600000003</v>
      </c>
      <c r="AU38" s="170">
        <f>'Debt &amp; Equity'!AV34</f>
        <v>24158.785250000004</v>
      </c>
      <c r="AV38" s="170">
        <f>'Debt &amp; Equity'!AW34</f>
        <v>25037.867225000005</v>
      </c>
      <c r="AW38" s="170">
        <f>'Debt &amp; Equity'!AX34</f>
        <v>25931.888525000006</v>
      </c>
      <c r="AX38" s="170">
        <f>'Debt &amp; Equity'!AY34</f>
        <v>26840.849150000005</v>
      </c>
      <c r="AY38" s="170">
        <f>'Debt &amp; Equity'!AZ34</f>
        <v>27754.789550000005</v>
      </c>
      <c r="AZ38" s="170">
        <f>'Debt &amp; Equity'!BA34</f>
        <v>28676.199612500004</v>
      </c>
      <c r="BA38" s="170">
        <f>'Debt &amp; Equity'!BB34</f>
        <v>29605.079337500003</v>
      </c>
      <c r="BB38" s="170">
        <f>'Debt &amp; Equity'!BC34</f>
        <v>30541.428725000002</v>
      </c>
      <c r="BC38" s="170">
        <f>'Debt &amp; Equity'!BD34</f>
        <v>31485.247775</v>
      </c>
      <c r="BD38" s="170">
        <f>'Debt &amp; Equity'!BE34</f>
        <v>32436.536487500001</v>
      </c>
      <c r="BE38" s="170">
        <f>'Debt &amp; Equity'!BF34</f>
        <v>33395.294862499999</v>
      </c>
      <c r="BF38" s="170">
        <f>'Debt &amp; Equity'!BG34</f>
        <v>34361.522899999996</v>
      </c>
      <c r="BG38" s="170">
        <f>'Debt &amp; Equity'!BH34</f>
        <v>35335.220599999993</v>
      </c>
      <c r="BH38" s="170">
        <f>'Debt &amp; Equity'!BI34</f>
        <v>36316.38796249999</v>
      </c>
      <c r="BI38" s="170">
        <f>'Debt &amp; Equity'!BJ34</f>
        <v>37305.024987499994</v>
      </c>
      <c r="BJ38" s="170">
        <f>'Debt &amp; Equity'!BK34</f>
        <v>38301.131674999997</v>
      </c>
      <c r="BK38" s="170">
        <f t="shared" si="2"/>
        <v>0</v>
      </c>
      <c r="BL38" s="170">
        <f t="shared" si="3"/>
        <v>3530.0414000000005</v>
      </c>
      <c r="BM38" s="170">
        <f t="shared" si="4"/>
        <v>9149.0478500000027</v>
      </c>
      <c r="BN38" s="170">
        <f t="shared" si="5"/>
        <v>16919.317100000004</v>
      </c>
      <c r="BO38" s="170">
        <f t="shared" si="6"/>
        <v>26840.849150000005</v>
      </c>
      <c r="BP38" s="170">
        <f t="shared" si="7"/>
        <v>38301.131674999997</v>
      </c>
    </row>
    <row r="39" spans="1:68">
      <c r="A39" s="170" t="s">
        <v>188</v>
      </c>
      <c r="B39" s="170"/>
      <c r="C39" s="259">
        <f>'Income Statement Projections'!B114</f>
        <v>-41551.599186012769</v>
      </c>
      <c r="D39" s="259">
        <f>'Income Statement Projections'!C114+C39</f>
        <v>-46867.095260156049</v>
      </c>
      <c r="E39" s="259">
        <f>'Income Statement Projections'!D114+D39</f>
        <v>-51843.916558422206</v>
      </c>
      <c r="F39" s="259">
        <f>'Income Statement Projections'!E114+E39</f>
        <v>-56481.991058483545</v>
      </c>
      <c r="G39" s="259">
        <f>'Income Statement Projections'!F114+F39</f>
        <v>-60781.246377900745</v>
      </c>
      <c r="H39" s="259">
        <f>'Income Statement Projections'!G114+G39</f>
        <v>-64741.609772322285</v>
      </c>
      <c r="I39" s="259">
        <f>'Income Statement Projections'!H114+H39</f>
        <v>-68363.008133674899</v>
      </c>
      <c r="J39" s="259">
        <f>'Income Statement Projections'!I114+I39</f>
        <v>-71645.367988344922</v>
      </c>
      <c r="K39" s="259">
        <f>'Income Statement Projections'!J114+J39</f>
        <v>-74588.615495350663</v>
      </c>
      <c r="L39" s="259">
        <f>'Income Statement Projections'!K114+K39</f>
        <v>-77192.676444505472</v>
      </c>
      <c r="M39" s="259">
        <f>'Income Statement Projections'!L114+L39</f>
        <v>-79457.476254571826</v>
      </c>
      <c r="N39" s="259">
        <f>'Income Statement Projections'!M114+M39</f>
        <v>-81382.939971405969</v>
      </c>
      <c r="O39" s="259">
        <f>'Income Statement Projections'!N114+N39</f>
        <v>-82968.992266093439</v>
      </c>
      <c r="P39" s="259">
        <f>'Income Statement Projections'!O114+O39</f>
        <v>-84215.557433075199</v>
      </c>
      <c r="Q39" s="259">
        <f>'Income Statement Projections'!P114+P39</f>
        <v>-85122.559388264432</v>
      </c>
      <c r="R39" s="259">
        <f>'Income Statement Projections'!Q114+Q39</f>
        <v>-85689.92166715386</v>
      </c>
      <c r="S39" s="259">
        <f>'Income Statement Projections'!R114+R39</f>
        <v>-85917.567422913708</v>
      </c>
      <c r="T39" s="259">
        <f>'Income Statement Projections'!S114+S39</f>
        <v>-85822.241624245056</v>
      </c>
      <c r="U39" s="259">
        <f>'Income Statement Projections'!T114+T39</f>
        <v>-85438.025159875528</v>
      </c>
      <c r="V39" s="259">
        <f>'Income Statement Projections'!U114+U39</f>
        <v>-84764.85172529555</v>
      </c>
      <c r="W39" s="259">
        <f>'Income Statement Projections'!V114+V39</f>
        <v>-83802.654684473004</v>
      </c>
      <c r="X39" s="259">
        <f>'Income Statement Projections'!W114+W39</f>
        <v>-82551.367068195643</v>
      </c>
      <c r="Y39" s="259">
        <f>'Income Statement Projections'!X114+X39</f>
        <v>-81010.921572405132</v>
      </c>
      <c r="Z39" s="259">
        <f>'Income Statement Projections'!Y114+Y39</f>
        <v>-79181.250556522849</v>
      </c>
      <c r="AA39" s="259">
        <f>'Income Statement Projections'!Z114+Z39</f>
        <v>-77062.286041767293</v>
      </c>
      <c r="AB39" s="259">
        <f>'Income Statement Projections'!AA114+AA39</f>
        <v>-74653.959709463015</v>
      </c>
      <c r="AC39" s="259">
        <f>'Income Statement Projections'!AB114+AB39</f>
        <v>-71956.202899341239</v>
      </c>
      <c r="AD39" s="259">
        <f>'Income Statement Projections'!AC114+AC39</f>
        <v>-68968.946607831822</v>
      </c>
      <c r="AE39" s="259">
        <f>'Income Statement Projections'!AD114+AD39</f>
        <v>-65692.121486346747</v>
      </c>
      <c r="AF39" s="259">
        <f>'Income Statement Projections'!AE114+AE39</f>
        <v>-62125.657839555104</v>
      </c>
      <c r="AG39" s="259">
        <f>'Income Statement Projections'!AF114+AF39</f>
        <v>-58269.485623649314</v>
      </c>
      <c r="AH39" s="259">
        <f>'Income Statement Projections'!AG114+AG39</f>
        <v>-54123.53444460273</v>
      </c>
      <c r="AI39" s="259">
        <f>'Income Statement Projections'!AH114+AH39</f>
        <v>-49687.7335564186</v>
      </c>
      <c r="AJ39" s="259">
        <f>'Income Statement Projections'!AI114+AI39</f>
        <v>-44962.011859370192</v>
      </c>
      <c r="AK39" s="259">
        <f>'Income Statement Projections'!AJ114+AJ39</f>
        <v>-39946.297898232122</v>
      </c>
      <c r="AL39" s="259">
        <f>'Income Statement Projections'!AK114+AK39</f>
        <v>-34640.519860502878</v>
      </c>
      <c r="AM39" s="259">
        <f>'Income Statement Projections'!AL114+AL39</f>
        <v>-29044.605574618465</v>
      </c>
      <c r="AN39" s="259">
        <f>'Income Statement Projections'!AM114+AM39</f>
        <v>-23158.482508157042</v>
      </c>
      <c r="AO39" s="259">
        <f>'Income Statement Projections'!AN114+AN39</f>
        <v>-16982.077766034665</v>
      </c>
      <c r="AP39" s="259">
        <f>'Income Statement Projections'!AO114+AO39</f>
        <v>-10515.318088691989</v>
      </c>
      <c r="AQ39" s="259">
        <f>'Income Statement Projections'!AP114+AP39</f>
        <v>-3758.129850271851</v>
      </c>
      <c r="AR39" s="259">
        <f>'Income Statement Projections'!AQ114+AQ39</f>
        <v>3289.5609432121983</v>
      </c>
      <c r="AS39" s="259">
        <f>'Income Statement Projections'!AR114+AR39</f>
        <v>10627.828655716532</v>
      </c>
      <c r="AT39" s="259">
        <f>'Income Statement Projections'!AS114+AS39</f>
        <v>18256.748023017295</v>
      </c>
      <c r="AU39" s="259">
        <f>'Income Statement Projections'!AT114+AT39</f>
        <v>26176.394154569534</v>
      </c>
      <c r="AV39" s="259">
        <f>'Income Statement Projections'!AU114+AU39</f>
        <v>34386.842535375552</v>
      </c>
      <c r="AW39" s="259">
        <f>'Income Statement Projections'!AV114+AV39</f>
        <v>42888.169027862677</v>
      </c>
      <c r="AX39" s="259">
        <f>'Income Statement Projections'!AW114+AW39</f>
        <v>51680.449873770376</v>
      </c>
      <c r="AY39" s="259">
        <f>'Income Statement Projections'!AX114+AX39</f>
        <v>60625.946814152281</v>
      </c>
      <c r="AZ39" s="259">
        <f>'Income Statement Projections'!AY114+AY39</f>
        <v>69724.736855071285</v>
      </c>
      <c r="BA39" s="259">
        <f>'Income Statement Projections'!AZ114+AZ39</f>
        <v>78976.8973876206</v>
      </c>
      <c r="BB39" s="259">
        <f>'Income Statement Projections'!BA114+BA39</f>
        <v>88382.506189848908</v>
      </c>
      <c r="BC39" s="259">
        <f>'Income Statement Projections'!BB114+BB39</f>
        <v>97941.641428695133</v>
      </c>
      <c r="BD39" s="259">
        <f>'Income Statement Projections'!BC114+BC39</f>
        <v>107654.38166193289</v>
      </c>
      <c r="BE39" s="259">
        <f>'Income Statement Projections'!BD114+BD39</f>
        <v>117520.80584012465</v>
      </c>
      <c r="BF39" s="259">
        <f>'Income Statement Projections'!BE114+BE39</f>
        <v>127540.99330858576</v>
      </c>
      <c r="BG39" s="259">
        <f>'Income Statement Projections'!BF114+BF39</f>
        <v>137715.02380935807</v>
      </c>
      <c r="BH39" s="259">
        <f>'Income Statement Projections'!BG114+BG39</f>
        <v>148042.97748319362</v>
      </c>
      <c r="BI39" s="259">
        <f>'Income Statement Projections'!BH114+BH39</f>
        <v>158524.93487154829</v>
      </c>
      <c r="BJ39" s="259">
        <f>'Income Statement Projections'!BI114+BI39</f>
        <v>169160.97691858522</v>
      </c>
      <c r="BK39" s="259">
        <f t="shared" si="2"/>
        <v>0</v>
      </c>
      <c r="BL39" s="259">
        <f t="shared" si="3"/>
        <v>-81382.939971405969</v>
      </c>
      <c r="BM39" s="259">
        <f t="shared" si="4"/>
        <v>-79181.250556522849</v>
      </c>
      <c r="BN39" s="259">
        <f t="shared" si="5"/>
        <v>-34640.519860502878</v>
      </c>
      <c r="BO39" s="259">
        <f t="shared" si="6"/>
        <v>51680.449873770376</v>
      </c>
      <c r="BP39" s="259">
        <f t="shared" si="7"/>
        <v>169160.97691858522</v>
      </c>
    </row>
    <row r="40" spans="1:68">
      <c r="A40" s="168" t="s">
        <v>189</v>
      </c>
      <c r="B40" s="168">
        <f t="shared" ref="B40:N40" si="114">SUM(B38:B39)</f>
        <v>0</v>
      </c>
      <c r="C40" s="168">
        <f t="shared" si="114"/>
        <v>-41282.489086012771</v>
      </c>
      <c r="D40" s="168">
        <f t="shared" si="114"/>
        <v>-46376.233485156052</v>
      </c>
      <c r="E40" s="168">
        <f t="shared" si="114"/>
        <v>-51116.363783422203</v>
      </c>
      <c r="F40" s="168">
        <f t="shared" si="114"/>
        <v>-55502.807958483543</v>
      </c>
      <c r="G40" s="168">
        <f t="shared" si="114"/>
        <v>-59535.493627900745</v>
      </c>
      <c r="H40" s="168">
        <f t="shared" si="114"/>
        <v>-63214.348047322288</v>
      </c>
      <c r="I40" s="168">
        <f t="shared" si="114"/>
        <v>-66539.298108674906</v>
      </c>
      <c r="J40" s="168">
        <f t="shared" si="114"/>
        <v>-69510.270338344926</v>
      </c>
      <c r="K40" s="168">
        <f t="shared" si="114"/>
        <v>-72127.190895350665</v>
      </c>
      <c r="L40" s="168">
        <f t="shared" si="114"/>
        <v>-74389.985569505472</v>
      </c>
      <c r="M40" s="168">
        <f t="shared" si="114"/>
        <v>-76298.579779571824</v>
      </c>
      <c r="N40" s="168">
        <f t="shared" si="114"/>
        <v>-77852.898571405967</v>
      </c>
      <c r="O40" s="168">
        <f t="shared" ref="O40:BJ40" si="115">SUM(O38:O39)</f>
        <v>-79052.866616093437</v>
      </c>
      <c r="P40" s="168">
        <f t="shared" si="115"/>
        <v>-79898.408208075198</v>
      </c>
      <c r="Q40" s="168">
        <f t="shared" si="115"/>
        <v>-80389.447263264432</v>
      </c>
      <c r="R40" s="168">
        <f t="shared" si="115"/>
        <v>-80525.907317153862</v>
      </c>
      <c r="S40" s="168">
        <f t="shared" si="115"/>
        <v>-80307.711522913713</v>
      </c>
      <c r="T40" s="168">
        <f t="shared" si="115"/>
        <v>-79751.60484924505</v>
      </c>
      <c r="U40" s="168">
        <f t="shared" si="115"/>
        <v>-78891.668184875525</v>
      </c>
      <c r="V40" s="168">
        <f t="shared" si="115"/>
        <v>-77727.835225295552</v>
      </c>
      <c r="W40" s="168">
        <f t="shared" si="115"/>
        <v>-76260.039334472996</v>
      </c>
      <c r="X40" s="168">
        <f t="shared" si="115"/>
        <v>-74488.213543195641</v>
      </c>
      <c r="Y40" s="168">
        <f t="shared" si="115"/>
        <v>-72412.290547405137</v>
      </c>
      <c r="Z40" s="168">
        <f t="shared" si="115"/>
        <v>-70032.202706522847</v>
      </c>
      <c r="AA40" s="168">
        <f t="shared" si="115"/>
        <v>-67347.882041767298</v>
      </c>
      <c r="AB40" s="168">
        <f t="shared" si="115"/>
        <v>-64359.260234463014</v>
      </c>
      <c r="AC40" s="168">
        <f t="shared" si="115"/>
        <v>-61066.268624341232</v>
      </c>
      <c r="AD40" s="168">
        <f t="shared" si="115"/>
        <v>-57468.838207831817</v>
      </c>
      <c r="AE40" s="168">
        <f t="shared" si="115"/>
        <v>-53566.899636346745</v>
      </c>
      <c r="AF40" s="168">
        <f t="shared" si="115"/>
        <v>-49360.383214555099</v>
      </c>
      <c r="AG40" s="168">
        <f t="shared" si="115"/>
        <v>-44849.218898649313</v>
      </c>
      <c r="AH40" s="168">
        <f t="shared" si="115"/>
        <v>-40033.336294602726</v>
      </c>
      <c r="AI40" s="168">
        <f t="shared" si="115"/>
        <v>-34912.664656418594</v>
      </c>
      <c r="AJ40" s="168">
        <f t="shared" si="115"/>
        <v>-29487.132884370189</v>
      </c>
      <c r="AK40" s="168">
        <f t="shared" si="115"/>
        <v>-23756.669523232118</v>
      </c>
      <c r="AL40" s="168">
        <f t="shared" si="115"/>
        <v>-17721.202760502874</v>
      </c>
      <c r="AM40" s="168">
        <f t="shared" si="115"/>
        <v>-11380.660424618462</v>
      </c>
      <c r="AN40" s="168">
        <f t="shared" si="115"/>
        <v>-4734.9699831570397</v>
      </c>
      <c r="AO40" s="168">
        <f t="shared" si="115"/>
        <v>2215.9414589653388</v>
      </c>
      <c r="AP40" s="168">
        <f t="shared" si="115"/>
        <v>9472.1471613080157</v>
      </c>
      <c r="AQ40" s="168">
        <f t="shared" si="115"/>
        <v>17033.720749728156</v>
      </c>
      <c r="AR40" s="168">
        <f t="shared" si="115"/>
        <v>24900.736218212201</v>
      </c>
      <c r="AS40" s="168">
        <f t="shared" si="115"/>
        <v>33073.267930716538</v>
      </c>
      <c r="AT40" s="168">
        <f t="shared" si="115"/>
        <v>41551.390623017302</v>
      </c>
      <c r="AU40" s="168">
        <f t="shared" si="115"/>
        <v>50335.179404569542</v>
      </c>
      <c r="AV40" s="168">
        <f t="shared" si="115"/>
        <v>59424.709760375554</v>
      </c>
      <c r="AW40" s="168">
        <f t="shared" si="115"/>
        <v>68820.05755286268</v>
      </c>
      <c r="AX40" s="168">
        <f t="shared" si="115"/>
        <v>78521.299023770378</v>
      </c>
      <c r="AY40" s="168">
        <f t="shared" si="115"/>
        <v>88380.736364152282</v>
      </c>
      <c r="AZ40" s="168">
        <f t="shared" si="115"/>
        <v>98400.936467571286</v>
      </c>
      <c r="BA40" s="168">
        <f t="shared" si="115"/>
        <v>108581.97672512061</v>
      </c>
      <c r="BB40" s="168">
        <f t="shared" si="115"/>
        <v>118923.93491484891</v>
      </c>
      <c r="BC40" s="168">
        <f t="shared" si="115"/>
        <v>129426.88920369513</v>
      </c>
      <c r="BD40" s="168">
        <f t="shared" si="115"/>
        <v>140090.9181494329</v>
      </c>
      <c r="BE40" s="168">
        <f t="shared" si="115"/>
        <v>150916.10070262465</v>
      </c>
      <c r="BF40" s="168">
        <f t="shared" si="115"/>
        <v>161902.51620858576</v>
      </c>
      <c r="BG40" s="168">
        <f t="shared" si="115"/>
        <v>173050.24440935807</v>
      </c>
      <c r="BH40" s="168">
        <f t="shared" si="115"/>
        <v>184359.36544569361</v>
      </c>
      <c r="BI40" s="168">
        <f t="shared" si="115"/>
        <v>195829.95985904828</v>
      </c>
      <c r="BJ40" s="168">
        <f t="shared" si="115"/>
        <v>207462.1085935852</v>
      </c>
      <c r="BK40" s="168">
        <f t="shared" si="2"/>
        <v>0</v>
      </c>
      <c r="BL40" s="168">
        <f t="shared" si="3"/>
        <v>-77852.898571405967</v>
      </c>
      <c r="BM40" s="168">
        <f t="shared" si="4"/>
        <v>-70032.202706522847</v>
      </c>
      <c r="BN40" s="168">
        <f t="shared" si="5"/>
        <v>-17721.202760502874</v>
      </c>
      <c r="BO40" s="168">
        <f t="shared" si="6"/>
        <v>78521.299023770378</v>
      </c>
      <c r="BP40" s="168">
        <f t="shared" si="7"/>
        <v>207462.1085935852</v>
      </c>
    </row>
    <row r="41" spans="1:68">
      <c r="A41" s="167"/>
      <c r="B41" s="171"/>
    </row>
    <row r="42" spans="1:68" ht="15.75" thickBot="1">
      <c r="A42" s="323" t="s">
        <v>190</v>
      </c>
      <c r="B42" s="323">
        <f t="shared" ref="B42:N42" si="116">B40+B36</f>
        <v>200000</v>
      </c>
      <c r="C42" s="323">
        <f t="shared" si="116"/>
        <v>155850.95060810164</v>
      </c>
      <c r="D42" s="323">
        <f t="shared" si="116"/>
        <v>147876.31310154335</v>
      </c>
      <c r="E42" s="323">
        <f t="shared" si="116"/>
        <v>140240.8852303251</v>
      </c>
      <c r="F42" s="323">
        <f t="shared" si="116"/>
        <v>132944.66699444692</v>
      </c>
      <c r="G42" s="323">
        <f t="shared" si="116"/>
        <v>125987.65839390879</v>
      </c>
      <c r="H42" s="323">
        <f t="shared" si="116"/>
        <v>119369.85942871073</v>
      </c>
      <c r="I42" s="323">
        <f t="shared" si="116"/>
        <v>113091.27009885269</v>
      </c>
      <c r="J42" s="323">
        <f t="shared" si="116"/>
        <v>107151.89040433471</v>
      </c>
      <c r="K42" s="323">
        <f t="shared" si="116"/>
        <v>101551.72034515678</v>
      </c>
      <c r="L42" s="323">
        <f t="shared" si="116"/>
        <v>96290.759921318924</v>
      </c>
      <c r="M42" s="323">
        <f t="shared" si="116"/>
        <v>91369.009132821113</v>
      </c>
      <c r="N42" s="323">
        <f t="shared" si="116"/>
        <v>86786.467979663343</v>
      </c>
      <c r="O42" s="323">
        <f t="shared" ref="O42:BJ42" si="117">O40+O36</f>
        <v>82543.136461845628</v>
      </c>
      <c r="P42" s="323">
        <f t="shared" si="117"/>
        <v>78639.014579367984</v>
      </c>
      <c r="Q42" s="323">
        <f t="shared" si="117"/>
        <v>75074.102332230381</v>
      </c>
      <c r="R42" s="323">
        <f t="shared" si="117"/>
        <v>71848.399720432833</v>
      </c>
      <c r="S42" s="323">
        <f t="shared" si="117"/>
        <v>68961.906743975327</v>
      </c>
      <c r="T42" s="323">
        <f t="shared" si="117"/>
        <v>66397.801203092851</v>
      </c>
      <c r="U42" s="323">
        <f t="shared" si="117"/>
        <v>64121.924591838484</v>
      </c>
      <c r="V42" s="323">
        <f t="shared" si="117"/>
        <v>62134.265209416437</v>
      </c>
      <c r="W42" s="323">
        <f t="shared" si="117"/>
        <v>60434.811296526983</v>
      </c>
      <c r="X42" s="323">
        <f t="shared" si="117"/>
        <v>59023.551035073746</v>
      </c>
      <c r="Y42" s="323">
        <f t="shared" si="117"/>
        <v>57900.472547870013</v>
      </c>
      <c r="Z42" s="323">
        <f t="shared" si="117"/>
        <v>57065.563898343084</v>
      </c>
      <c r="AA42" s="323">
        <f t="shared" si="117"/>
        <v>56518.813090237381</v>
      </c>
      <c r="AB42" s="323">
        <f t="shared" si="117"/>
        <v>56260.208067316125</v>
      </c>
      <c r="AC42" s="323">
        <f t="shared" si="117"/>
        <v>56289.736713061226</v>
      </c>
      <c r="AD42" s="323">
        <f t="shared" si="117"/>
        <v>56607.386850372066</v>
      </c>
      <c r="AE42" s="323">
        <f t="shared" si="117"/>
        <v>57213.14624126257</v>
      </c>
      <c r="AF42" s="323">
        <f t="shared" si="117"/>
        <v>58107.002586556686</v>
      </c>
      <c r="AG42" s="323">
        <f t="shared" si="117"/>
        <v>59288.94352558245</v>
      </c>
      <c r="AH42" s="323">
        <f t="shared" si="117"/>
        <v>60758.956635864619</v>
      </c>
      <c r="AI42" s="323">
        <f t="shared" si="117"/>
        <v>62517.0294328155</v>
      </c>
      <c r="AJ42" s="323">
        <f t="shared" si="117"/>
        <v>64563.149369424485</v>
      </c>
      <c r="AK42" s="323">
        <f t="shared" si="117"/>
        <v>66897.303835945946</v>
      </c>
      <c r="AL42" s="323">
        <f t="shared" si="117"/>
        <v>69519.48015958551</v>
      </c>
      <c r="AM42" s="323">
        <f t="shared" si="117"/>
        <v>72429.665604184775</v>
      </c>
      <c r="AN42" s="323">
        <f t="shared" si="117"/>
        <v>75627.84736990463</v>
      </c>
      <c r="AO42" s="323">
        <f t="shared" si="117"/>
        <v>79114.012592906714</v>
      </c>
      <c r="AP42" s="323">
        <f t="shared" si="117"/>
        <v>82888.148345033522</v>
      </c>
      <c r="AQ42" s="323">
        <f t="shared" si="117"/>
        <v>86950.241633486701</v>
      </c>
      <c r="AR42" s="323">
        <f t="shared" si="117"/>
        <v>91300.279400503961</v>
      </c>
      <c r="AS42" s="323">
        <f t="shared" si="117"/>
        <v>95938.248523034184</v>
      </c>
      <c r="AT42" s="323">
        <f t="shared" si="117"/>
        <v>100864.13581241094</v>
      </c>
      <c r="AU42" s="323">
        <f t="shared" si="117"/>
        <v>106077.92801402457</v>
      </c>
      <c r="AV42" s="323">
        <f t="shared" si="117"/>
        <v>111579.61180699228</v>
      </c>
      <c r="AW42" s="323">
        <f t="shared" si="117"/>
        <v>117369.17380382691</v>
      </c>
      <c r="AX42" s="323">
        <f t="shared" si="117"/>
        <v>123446.60055010385</v>
      </c>
      <c r="AY42" s="323">
        <f t="shared" si="117"/>
        <v>129664.10409223184</v>
      </c>
      <c r="AZ42" s="323">
        <f t="shared" si="117"/>
        <v>136024.16072840564</v>
      </c>
      <c r="BA42" s="323">
        <f t="shared" si="117"/>
        <v>142526.75680137356</v>
      </c>
      <c r="BB42" s="323">
        <f t="shared" si="117"/>
        <v>149171.87858559756</v>
      </c>
      <c r="BC42" s="323">
        <f t="shared" si="117"/>
        <v>155959.51228691192</v>
      </c>
      <c r="BD42" s="323">
        <f t="shared" si="117"/>
        <v>162889.64404218021</v>
      </c>
      <c r="BE42" s="323">
        <f t="shared" si="117"/>
        <v>169962.25991895009</v>
      </c>
      <c r="BF42" s="323">
        <f t="shared" si="117"/>
        <v>177177.34591510726</v>
      </c>
      <c r="BG42" s="323">
        <f t="shared" si="117"/>
        <v>184534.88795852658</v>
      </c>
      <c r="BH42" s="323">
        <f t="shared" si="117"/>
        <v>192034.87190672237</v>
      </c>
      <c r="BI42" s="323">
        <f t="shared" si="117"/>
        <v>199677.28354649662</v>
      </c>
      <c r="BJ42" s="323">
        <f t="shared" si="117"/>
        <v>207462.1085935852</v>
      </c>
      <c r="BK42" s="323">
        <f t="shared" si="2"/>
        <v>200000</v>
      </c>
      <c r="BL42" s="323">
        <f t="shared" si="3"/>
        <v>86786.467979663343</v>
      </c>
      <c r="BM42" s="323">
        <f t="shared" si="4"/>
        <v>57065.563898343084</v>
      </c>
      <c r="BN42" s="323">
        <f t="shared" si="5"/>
        <v>69519.48015958551</v>
      </c>
      <c r="BO42" s="323">
        <f t="shared" si="6"/>
        <v>123446.60055010385</v>
      </c>
      <c r="BP42" s="323">
        <f t="shared" si="7"/>
        <v>207462.1085935852</v>
      </c>
    </row>
    <row r="43" spans="1:68" ht="15.75" thickTop="1">
      <c r="A43" s="173"/>
      <c r="B43" s="173"/>
      <c r="BK43">
        <f t="shared" si="2"/>
        <v>0</v>
      </c>
      <c r="BL43">
        <f t="shared" si="3"/>
        <v>0</v>
      </c>
      <c r="BM43">
        <f t="shared" si="4"/>
        <v>0</v>
      </c>
      <c r="BN43">
        <f t="shared" si="5"/>
        <v>0</v>
      </c>
      <c r="BO43">
        <f t="shared" si="6"/>
        <v>0</v>
      </c>
      <c r="BP43">
        <f t="shared" si="7"/>
        <v>0</v>
      </c>
    </row>
    <row r="44" spans="1:68">
      <c r="A44" s="171"/>
      <c r="B44" s="171">
        <f t="shared" ref="B44:N44" si="118">B42-B22</f>
        <v>0</v>
      </c>
      <c r="C44" s="171">
        <f t="shared" si="118"/>
        <v>0</v>
      </c>
      <c r="D44" s="171">
        <f t="shared" si="118"/>
        <v>0</v>
      </c>
      <c r="E44" s="171">
        <f t="shared" si="118"/>
        <v>0</v>
      </c>
      <c r="F44" s="171">
        <f t="shared" si="118"/>
        <v>0</v>
      </c>
      <c r="G44" s="171">
        <f t="shared" si="118"/>
        <v>0</v>
      </c>
      <c r="H44" s="171">
        <f t="shared" si="118"/>
        <v>0</v>
      </c>
      <c r="I44" s="171">
        <f t="shared" si="118"/>
        <v>0</v>
      </c>
      <c r="J44" s="171">
        <f t="shared" si="118"/>
        <v>0</v>
      </c>
      <c r="K44" s="171">
        <f t="shared" si="118"/>
        <v>0</v>
      </c>
      <c r="L44" s="171">
        <f t="shared" si="118"/>
        <v>0</v>
      </c>
      <c r="M44" s="171">
        <f t="shared" si="118"/>
        <v>0</v>
      </c>
      <c r="N44" s="171">
        <f t="shared" si="118"/>
        <v>0</v>
      </c>
      <c r="O44" s="171">
        <f t="shared" ref="O44:BJ44" si="119">O42-O22</f>
        <v>0</v>
      </c>
      <c r="P44" s="171">
        <f t="shared" si="119"/>
        <v>0</v>
      </c>
      <c r="Q44" s="171">
        <f t="shared" si="119"/>
        <v>0</v>
      </c>
      <c r="R44" s="171">
        <f t="shared" si="119"/>
        <v>0</v>
      </c>
      <c r="S44" s="171">
        <f t="shared" si="119"/>
        <v>0</v>
      </c>
      <c r="T44" s="171">
        <f t="shared" si="119"/>
        <v>0</v>
      </c>
      <c r="U44" s="171">
        <f t="shared" si="119"/>
        <v>0</v>
      </c>
      <c r="V44" s="171">
        <f t="shared" si="119"/>
        <v>0</v>
      </c>
      <c r="W44" s="171">
        <f t="shared" si="119"/>
        <v>0</v>
      </c>
      <c r="X44" s="171">
        <f t="shared" si="119"/>
        <v>0</v>
      </c>
      <c r="Y44" s="171">
        <f t="shared" si="119"/>
        <v>0</v>
      </c>
      <c r="Z44" s="171">
        <f t="shared" si="119"/>
        <v>0</v>
      </c>
      <c r="AA44" s="171">
        <f t="shared" si="119"/>
        <v>0</v>
      </c>
      <c r="AB44" s="171">
        <f t="shared" si="119"/>
        <v>0</v>
      </c>
      <c r="AC44" s="171">
        <f t="shared" si="119"/>
        <v>0</v>
      </c>
      <c r="AD44" s="171">
        <f t="shared" si="119"/>
        <v>0</v>
      </c>
      <c r="AE44" s="171">
        <f t="shared" si="119"/>
        <v>0</v>
      </c>
      <c r="AF44" s="171">
        <f t="shared" si="119"/>
        <v>0</v>
      </c>
      <c r="AG44" s="171">
        <f t="shared" si="119"/>
        <v>0</v>
      </c>
      <c r="AH44" s="171">
        <f t="shared" si="119"/>
        <v>0</v>
      </c>
      <c r="AI44" s="171">
        <f t="shared" si="119"/>
        <v>0</v>
      </c>
      <c r="AJ44" s="171">
        <f t="shared" si="119"/>
        <v>0</v>
      </c>
      <c r="AK44" s="171">
        <f t="shared" si="119"/>
        <v>0</v>
      </c>
      <c r="AL44" s="171">
        <f t="shared" si="119"/>
        <v>0</v>
      </c>
      <c r="AM44" s="171">
        <f t="shared" si="119"/>
        <v>0</v>
      </c>
      <c r="AN44" s="171">
        <f t="shared" si="119"/>
        <v>0</v>
      </c>
      <c r="AO44" s="171">
        <f t="shared" si="119"/>
        <v>0</v>
      </c>
      <c r="AP44" s="171">
        <f t="shared" si="119"/>
        <v>0</v>
      </c>
      <c r="AQ44" s="171">
        <f t="shared" si="119"/>
        <v>0</v>
      </c>
      <c r="AR44" s="171">
        <f t="shared" si="119"/>
        <v>0</v>
      </c>
      <c r="AS44" s="171">
        <f t="shared" si="119"/>
        <v>0</v>
      </c>
      <c r="AT44" s="171">
        <f t="shared" si="119"/>
        <v>0</v>
      </c>
      <c r="AU44" s="171">
        <f t="shared" si="119"/>
        <v>0</v>
      </c>
      <c r="AV44" s="171">
        <f t="shared" si="119"/>
        <v>0</v>
      </c>
      <c r="AW44" s="171">
        <f t="shared" si="119"/>
        <v>0</v>
      </c>
      <c r="AX44" s="171">
        <f t="shared" si="119"/>
        <v>0</v>
      </c>
      <c r="AY44" s="171">
        <f t="shared" si="119"/>
        <v>0</v>
      </c>
      <c r="AZ44" s="171">
        <f t="shared" si="119"/>
        <v>0</v>
      </c>
      <c r="BA44" s="171">
        <f t="shared" si="119"/>
        <v>0</v>
      </c>
      <c r="BB44" s="171">
        <f t="shared" si="119"/>
        <v>0</v>
      </c>
      <c r="BC44" s="171">
        <f t="shared" si="119"/>
        <v>0</v>
      </c>
      <c r="BD44" s="171">
        <f t="shared" si="119"/>
        <v>0</v>
      </c>
      <c r="BE44" s="171">
        <f t="shared" si="119"/>
        <v>0</v>
      </c>
      <c r="BF44" s="171">
        <f t="shared" si="119"/>
        <v>0</v>
      </c>
      <c r="BG44" s="171">
        <f t="shared" si="119"/>
        <v>0</v>
      </c>
      <c r="BH44" s="171">
        <f t="shared" si="119"/>
        <v>0</v>
      </c>
      <c r="BI44" s="171">
        <f t="shared" si="119"/>
        <v>0</v>
      </c>
      <c r="BJ44" s="171">
        <f t="shared" si="119"/>
        <v>0</v>
      </c>
      <c r="BK44" s="171">
        <f t="shared" si="2"/>
        <v>0</v>
      </c>
      <c r="BL44" s="171">
        <f t="shared" si="3"/>
        <v>0</v>
      </c>
      <c r="BM44" s="171">
        <f t="shared" si="4"/>
        <v>0</v>
      </c>
      <c r="BN44" s="171">
        <f t="shared" si="5"/>
        <v>0</v>
      </c>
      <c r="BO44" s="171">
        <f t="shared" si="6"/>
        <v>0</v>
      </c>
      <c r="BP44" s="171">
        <f t="shared" si="7"/>
        <v>0</v>
      </c>
    </row>
    <row r="45" spans="1:68">
      <c r="A45" s="169"/>
      <c r="B45" s="169"/>
      <c r="C45" s="288"/>
      <c r="D45" s="288">
        <f>D44-C44</f>
        <v>0</v>
      </c>
      <c r="E45" s="288">
        <f>E44-D44</f>
        <v>0</v>
      </c>
      <c r="F45" s="288">
        <f t="shared" ref="F45:N45" si="120">F44-E44</f>
        <v>0</v>
      </c>
      <c r="G45" s="288">
        <f t="shared" si="120"/>
        <v>0</v>
      </c>
      <c r="H45" s="288">
        <f t="shared" si="120"/>
        <v>0</v>
      </c>
      <c r="I45" s="288">
        <f t="shared" si="120"/>
        <v>0</v>
      </c>
      <c r="J45" s="288">
        <f t="shared" si="120"/>
        <v>0</v>
      </c>
      <c r="K45" s="288">
        <f t="shared" si="120"/>
        <v>0</v>
      </c>
      <c r="L45" s="288">
        <f t="shared" si="120"/>
        <v>0</v>
      </c>
      <c r="M45" s="288">
        <f t="shared" si="120"/>
        <v>0</v>
      </c>
      <c r="N45" s="288">
        <f t="shared" si="120"/>
        <v>0</v>
      </c>
      <c r="O45" s="288">
        <f t="shared" ref="O45" si="121">O44-N44</f>
        <v>0</v>
      </c>
      <c r="P45" s="288">
        <f t="shared" ref="P45" si="122">P44-O44</f>
        <v>0</v>
      </c>
      <c r="Q45" s="288">
        <f t="shared" ref="Q45" si="123">Q44-P44</f>
        <v>0</v>
      </c>
      <c r="R45" s="288">
        <f t="shared" ref="R45" si="124">R44-Q44</f>
        <v>0</v>
      </c>
      <c r="S45" s="288">
        <f t="shared" ref="S45" si="125">S44-R44</f>
        <v>0</v>
      </c>
      <c r="T45" s="288">
        <f t="shared" ref="T45" si="126">T44-S44</f>
        <v>0</v>
      </c>
      <c r="U45" s="288">
        <f t="shared" ref="U45" si="127">U44-T44</f>
        <v>0</v>
      </c>
      <c r="V45" s="288">
        <f t="shared" ref="V45" si="128">V44-U44</f>
        <v>0</v>
      </c>
      <c r="W45" s="288">
        <f t="shared" ref="W45" si="129">W44-V44</f>
        <v>0</v>
      </c>
      <c r="X45" s="288">
        <f t="shared" ref="X45" si="130">X44-W44</f>
        <v>0</v>
      </c>
      <c r="Y45" s="288">
        <f t="shared" ref="Y45" si="131">Y44-X44</f>
        <v>0</v>
      </c>
      <c r="Z45" s="288">
        <f t="shared" ref="Z45" si="132">Z44-Y44</f>
        <v>0</v>
      </c>
      <c r="AA45" s="288">
        <f t="shared" ref="AA45" si="133">AA44-Z44</f>
        <v>0</v>
      </c>
      <c r="AB45" s="288">
        <f t="shared" ref="AB45" si="134">AB44-AA44</f>
        <v>0</v>
      </c>
      <c r="AC45" s="288">
        <f t="shared" ref="AC45" si="135">AC44-AB44</f>
        <v>0</v>
      </c>
      <c r="AD45" s="288">
        <f t="shared" ref="AD45" si="136">AD44-AC44</f>
        <v>0</v>
      </c>
      <c r="AE45" s="288">
        <f t="shared" ref="AE45" si="137">AE44-AD44</f>
        <v>0</v>
      </c>
      <c r="AF45" s="288">
        <f t="shared" ref="AF45" si="138">AF44-AE44</f>
        <v>0</v>
      </c>
      <c r="AG45" s="288">
        <f t="shared" ref="AG45" si="139">AG44-AF44</f>
        <v>0</v>
      </c>
      <c r="AH45" s="288">
        <f t="shared" ref="AH45" si="140">AH44-AG44</f>
        <v>0</v>
      </c>
      <c r="AI45" s="288">
        <f t="shared" ref="AI45" si="141">AI44-AH44</f>
        <v>0</v>
      </c>
      <c r="AJ45" s="288">
        <f t="shared" ref="AJ45" si="142">AJ44-AI44</f>
        <v>0</v>
      </c>
      <c r="AK45" s="288">
        <f t="shared" ref="AK45" si="143">AK44-AJ44</f>
        <v>0</v>
      </c>
      <c r="AL45" s="288">
        <f t="shared" ref="AL45" si="144">AL44-AK44</f>
        <v>0</v>
      </c>
      <c r="AM45" s="288">
        <f t="shared" ref="AM45" si="145">AM44-AL44</f>
        <v>0</v>
      </c>
      <c r="AN45" s="288">
        <f t="shared" ref="AN45" si="146">AN44-AM44</f>
        <v>0</v>
      </c>
      <c r="AO45" s="288">
        <f t="shared" ref="AO45" si="147">AO44-AN44</f>
        <v>0</v>
      </c>
      <c r="AP45" s="288">
        <f t="shared" ref="AP45" si="148">AP44-AO44</f>
        <v>0</v>
      </c>
      <c r="AQ45" s="288">
        <f t="shared" ref="AQ45" si="149">AQ44-AP44</f>
        <v>0</v>
      </c>
      <c r="AR45" s="288">
        <f t="shared" ref="AR45" si="150">AR44-AQ44</f>
        <v>0</v>
      </c>
      <c r="AS45" s="288">
        <f t="shared" ref="AS45" si="151">AS44-AR44</f>
        <v>0</v>
      </c>
      <c r="AT45" s="288">
        <f t="shared" ref="AT45" si="152">AT44-AS44</f>
        <v>0</v>
      </c>
      <c r="AU45" s="288">
        <f t="shared" ref="AU45" si="153">AU44-AT44</f>
        <v>0</v>
      </c>
      <c r="AV45" s="288">
        <f t="shared" ref="AV45" si="154">AV44-AU44</f>
        <v>0</v>
      </c>
      <c r="AW45" s="288">
        <f t="shared" ref="AW45" si="155">AW44-AV44</f>
        <v>0</v>
      </c>
      <c r="AX45" s="288">
        <f t="shared" ref="AX45" si="156">AX44-AW44</f>
        <v>0</v>
      </c>
      <c r="AY45" s="288">
        <f t="shared" ref="AY45" si="157">AY44-AX44</f>
        <v>0</v>
      </c>
      <c r="AZ45" s="288">
        <f t="shared" ref="AZ45" si="158">AZ44-AY44</f>
        <v>0</v>
      </c>
      <c r="BA45" s="288">
        <f t="shared" ref="BA45" si="159">BA44-AZ44</f>
        <v>0</v>
      </c>
      <c r="BB45" s="288">
        <f t="shared" ref="BB45" si="160">BB44-BA44</f>
        <v>0</v>
      </c>
      <c r="BC45" s="288">
        <f t="shared" ref="BC45" si="161">BC44-BB44</f>
        <v>0</v>
      </c>
      <c r="BD45" s="288">
        <f t="shared" ref="BD45" si="162">BD44-BC44</f>
        <v>0</v>
      </c>
      <c r="BE45" s="288">
        <f t="shared" ref="BE45" si="163">BE44-BD44</f>
        <v>0</v>
      </c>
      <c r="BF45" s="288">
        <f t="shared" ref="BF45" si="164">BF44-BE44</f>
        <v>0</v>
      </c>
      <c r="BG45" s="288">
        <f t="shared" ref="BG45" si="165">BG44-BF44</f>
        <v>0</v>
      </c>
      <c r="BH45" s="288">
        <f t="shared" ref="BH45" si="166">BH44-BG44</f>
        <v>0</v>
      </c>
      <c r="BI45" s="288">
        <f t="shared" ref="BI45" si="167">BI44-BH44</f>
        <v>0</v>
      </c>
      <c r="BJ45" s="288">
        <f t="shared" ref="BJ45" si="168">BJ44-BI44</f>
        <v>0</v>
      </c>
      <c r="BK45" s="288">
        <f t="shared" si="2"/>
        <v>0</v>
      </c>
      <c r="BL45" s="288">
        <f t="shared" si="3"/>
        <v>0</v>
      </c>
      <c r="BM45" s="288">
        <f t="shared" si="4"/>
        <v>0</v>
      </c>
      <c r="BN45" s="288">
        <f t="shared" si="5"/>
        <v>0</v>
      </c>
      <c r="BO45" s="288">
        <f t="shared" si="6"/>
        <v>0</v>
      </c>
      <c r="BP45" s="288">
        <f t="shared" si="7"/>
        <v>0</v>
      </c>
    </row>
    <row r="46" spans="1:68">
      <c r="A46" s="167"/>
      <c r="B46" s="167"/>
      <c r="D46" s="288">
        <f>D14-C14</f>
        <v>0</v>
      </c>
      <c r="E46" s="288">
        <f t="shared" ref="E46:N46" si="169">E14-D14</f>
        <v>0</v>
      </c>
      <c r="F46" s="288">
        <f t="shared" si="169"/>
        <v>0</v>
      </c>
      <c r="G46" s="288">
        <f t="shared" si="169"/>
        <v>0</v>
      </c>
      <c r="H46" s="288">
        <f t="shared" si="169"/>
        <v>0</v>
      </c>
      <c r="I46" s="288">
        <f t="shared" si="169"/>
        <v>0</v>
      </c>
      <c r="J46" s="288">
        <f t="shared" si="169"/>
        <v>0</v>
      </c>
      <c r="K46" s="288">
        <f t="shared" si="169"/>
        <v>0</v>
      </c>
      <c r="L46" s="288">
        <f t="shared" si="169"/>
        <v>0</v>
      </c>
      <c r="M46" s="288">
        <f t="shared" si="169"/>
        <v>0</v>
      </c>
      <c r="N46" s="288">
        <f t="shared" si="169"/>
        <v>0</v>
      </c>
      <c r="O46" s="288">
        <f t="shared" ref="O46:BJ46" si="170">O14-N14</f>
        <v>0</v>
      </c>
      <c r="P46" s="288">
        <f t="shared" si="170"/>
        <v>0</v>
      </c>
      <c r="Q46" s="288">
        <f t="shared" si="170"/>
        <v>0</v>
      </c>
      <c r="R46" s="288">
        <f t="shared" si="170"/>
        <v>0</v>
      </c>
      <c r="S46" s="288">
        <f t="shared" si="170"/>
        <v>0</v>
      </c>
      <c r="T46" s="288">
        <f t="shared" si="170"/>
        <v>0</v>
      </c>
      <c r="U46" s="288">
        <f t="shared" si="170"/>
        <v>0</v>
      </c>
      <c r="V46" s="288">
        <f t="shared" si="170"/>
        <v>0</v>
      </c>
      <c r="W46" s="288">
        <f t="shared" si="170"/>
        <v>0</v>
      </c>
      <c r="X46" s="288">
        <f t="shared" si="170"/>
        <v>0</v>
      </c>
      <c r="Y46" s="288">
        <f t="shared" si="170"/>
        <v>0</v>
      </c>
      <c r="Z46" s="288">
        <f t="shared" si="170"/>
        <v>0</v>
      </c>
      <c r="AA46" s="288">
        <f t="shared" si="170"/>
        <v>0</v>
      </c>
      <c r="AB46" s="288">
        <f t="shared" si="170"/>
        <v>0</v>
      </c>
      <c r="AC46" s="288">
        <f t="shared" si="170"/>
        <v>0</v>
      </c>
      <c r="AD46" s="288">
        <f t="shared" si="170"/>
        <v>0</v>
      </c>
      <c r="AE46" s="288">
        <f t="shared" si="170"/>
        <v>0</v>
      </c>
      <c r="AF46" s="288">
        <f t="shared" si="170"/>
        <v>0</v>
      </c>
      <c r="AG46" s="288">
        <f t="shared" si="170"/>
        <v>0</v>
      </c>
      <c r="AH46" s="288">
        <f t="shared" si="170"/>
        <v>0</v>
      </c>
      <c r="AI46" s="288">
        <f t="shared" si="170"/>
        <v>0</v>
      </c>
      <c r="AJ46" s="288">
        <f t="shared" si="170"/>
        <v>0</v>
      </c>
      <c r="AK46" s="288">
        <f t="shared" si="170"/>
        <v>0</v>
      </c>
      <c r="AL46" s="288">
        <f t="shared" si="170"/>
        <v>0</v>
      </c>
      <c r="AM46" s="288">
        <f t="shared" si="170"/>
        <v>0</v>
      </c>
      <c r="AN46" s="288">
        <f t="shared" si="170"/>
        <v>0</v>
      </c>
      <c r="AO46" s="288">
        <f t="shared" si="170"/>
        <v>0</v>
      </c>
      <c r="AP46" s="288">
        <f t="shared" si="170"/>
        <v>0</v>
      </c>
      <c r="AQ46" s="288">
        <f t="shared" si="170"/>
        <v>0</v>
      </c>
      <c r="AR46" s="288">
        <f t="shared" si="170"/>
        <v>0</v>
      </c>
      <c r="AS46" s="288">
        <f t="shared" si="170"/>
        <v>0</v>
      </c>
      <c r="AT46" s="288">
        <f t="shared" si="170"/>
        <v>0</v>
      </c>
      <c r="AU46" s="288">
        <f t="shared" si="170"/>
        <v>0</v>
      </c>
      <c r="AV46" s="288">
        <f t="shared" si="170"/>
        <v>0</v>
      </c>
      <c r="AW46" s="288">
        <f t="shared" si="170"/>
        <v>0</v>
      </c>
      <c r="AX46" s="288">
        <f t="shared" si="170"/>
        <v>0</v>
      </c>
      <c r="AY46" s="288">
        <f t="shared" si="170"/>
        <v>0</v>
      </c>
      <c r="AZ46" s="288">
        <f t="shared" si="170"/>
        <v>0</v>
      </c>
      <c r="BA46" s="288">
        <f t="shared" si="170"/>
        <v>0</v>
      </c>
      <c r="BB46" s="288">
        <f t="shared" si="170"/>
        <v>0</v>
      </c>
      <c r="BC46" s="288">
        <f t="shared" si="170"/>
        <v>0</v>
      </c>
      <c r="BD46" s="288">
        <f t="shared" si="170"/>
        <v>0</v>
      </c>
      <c r="BE46" s="288">
        <f t="shared" si="170"/>
        <v>0</v>
      </c>
      <c r="BF46" s="288">
        <f t="shared" si="170"/>
        <v>0</v>
      </c>
      <c r="BG46" s="288">
        <f t="shared" si="170"/>
        <v>0</v>
      </c>
      <c r="BH46" s="288">
        <f t="shared" si="170"/>
        <v>0</v>
      </c>
      <c r="BI46" s="288">
        <f t="shared" si="170"/>
        <v>0</v>
      </c>
      <c r="BJ46" s="288">
        <f t="shared" si="170"/>
        <v>0</v>
      </c>
      <c r="BK46" s="288">
        <f t="shared" si="2"/>
        <v>0</v>
      </c>
      <c r="BL46" s="288">
        <f t="shared" si="3"/>
        <v>0</v>
      </c>
      <c r="BM46" s="288">
        <f t="shared" si="4"/>
        <v>0</v>
      </c>
      <c r="BN46" s="288">
        <f t="shared" si="5"/>
        <v>0</v>
      </c>
      <c r="BO46" s="288">
        <f t="shared" si="6"/>
        <v>0</v>
      </c>
      <c r="BP46" s="288">
        <f t="shared" si="7"/>
        <v>0</v>
      </c>
    </row>
    <row r="47" spans="1:68">
      <c r="A47" s="167"/>
      <c r="B47" s="167"/>
      <c r="BK47">
        <f t="shared" si="2"/>
        <v>0</v>
      </c>
      <c r="BL47">
        <f t="shared" si="3"/>
        <v>0</v>
      </c>
      <c r="BM47">
        <f t="shared" si="4"/>
        <v>0</v>
      </c>
      <c r="BN47">
        <f t="shared" si="5"/>
        <v>0</v>
      </c>
      <c r="BO47">
        <f t="shared" si="6"/>
        <v>0</v>
      </c>
      <c r="BP47">
        <f t="shared" si="7"/>
        <v>0</v>
      </c>
    </row>
    <row r="48" spans="1:68">
      <c r="A48" s="117"/>
      <c r="B48" s="117"/>
      <c r="BK48">
        <f t="shared" si="2"/>
        <v>0</v>
      </c>
      <c r="BL48">
        <f t="shared" si="3"/>
        <v>0</v>
      </c>
      <c r="BM48">
        <f t="shared" si="4"/>
        <v>0</v>
      </c>
      <c r="BN48">
        <f t="shared" si="5"/>
        <v>0</v>
      </c>
      <c r="BO48">
        <f t="shared" si="6"/>
        <v>0</v>
      </c>
      <c r="BP48">
        <f t="shared" si="7"/>
        <v>0</v>
      </c>
    </row>
    <row r="49" spans="1:68">
      <c r="A49" s="319" t="s">
        <v>430</v>
      </c>
      <c r="B49" s="117"/>
      <c r="BK49">
        <f t="shared" si="2"/>
        <v>0</v>
      </c>
      <c r="BL49">
        <f t="shared" si="3"/>
        <v>0</v>
      </c>
      <c r="BM49">
        <f t="shared" si="4"/>
        <v>0</v>
      </c>
      <c r="BN49">
        <f t="shared" si="5"/>
        <v>0</v>
      </c>
      <c r="BO49">
        <f t="shared" si="6"/>
        <v>0</v>
      </c>
      <c r="BP49">
        <f t="shared" si="7"/>
        <v>0</v>
      </c>
    </row>
    <row r="50" spans="1:68" ht="15.75">
      <c r="A50" s="320" t="s">
        <v>431</v>
      </c>
      <c r="B50" s="117"/>
      <c r="C50" s="259">
        <f>'Income Statement Projections'!B114</f>
        <v>-41551.599186012769</v>
      </c>
      <c r="D50" s="259">
        <f>'Income Statement Projections'!C114</f>
        <v>-5315.4960741432824</v>
      </c>
      <c r="E50" s="259">
        <f>'Income Statement Projections'!D114</f>
        <v>-4976.8212982661535</v>
      </c>
      <c r="F50" s="259">
        <f>'Income Statement Projections'!E114</f>
        <v>-4638.0745000613406</v>
      </c>
      <c r="G50" s="259">
        <f>'Income Statement Projections'!F114</f>
        <v>-4299.2553194172015</v>
      </c>
      <c r="H50" s="259">
        <f>'Income Statement Projections'!G114</f>
        <v>-3960.3633944215426</v>
      </c>
      <c r="I50" s="259">
        <f>'Income Statement Projections'!H114</f>
        <v>-3621.3983613526107</v>
      </c>
      <c r="J50" s="259">
        <f>'Income Statement Projections'!I114</f>
        <v>-3282.3598546700232</v>
      </c>
      <c r="K50" s="259">
        <f>'Income Statement Projections'!J114</f>
        <v>-2943.2475070057362</v>
      </c>
      <c r="L50" s="259">
        <f>'Income Statement Projections'!K114</f>
        <v>-2604.0609491548157</v>
      </c>
      <c r="M50" s="259">
        <f>'Income Statement Projections'!L114</f>
        <v>-2264.7998100663481</v>
      </c>
      <c r="N50" s="259">
        <f>'Income Statement Projections'!M114</f>
        <v>-1925.4637168341415</v>
      </c>
      <c r="O50" s="259">
        <f>'Income Statement Projections'!N114</f>
        <v>-1586.0522946874671</v>
      </c>
      <c r="P50" s="259">
        <f>'Income Statement Projections'!O114</f>
        <v>-1246.5651669817612</v>
      </c>
      <c r="Q50" s="259">
        <f>'Income Statement Projections'!P114</f>
        <v>-907.00195518922908</v>
      </c>
      <c r="R50" s="259">
        <f>'Income Statement Projections'!Q114</f>
        <v>-567.36227888943108</v>
      </c>
      <c r="S50" s="259">
        <f>'Income Statement Projections'!R114</f>
        <v>-227.64575575984145</v>
      </c>
      <c r="T50" s="259">
        <f>'Income Statement Projections'!S114</f>
        <v>95.325798668647579</v>
      </c>
      <c r="U50" s="259">
        <f>'Income Statement Projections'!T114</f>
        <v>384.21646436953466</v>
      </c>
      <c r="V50" s="259">
        <f>'Income Statement Projections'!U114</f>
        <v>673.17343457998425</v>
      </c>
      <c r="W50" s="259">
        <f>'Income Statement Projections'!V114</f>
        <v>962.19704082254066</v>
      </c>
      <c r="X50" s="259">
        <f>'Income Statement Projections'!W114</f>
        <v>1251.2876162773646</v>
      </c>
      <c r="Y50" s="259">
        <f>'Income Statement Projections'!X114</f>
        <v>1540.4454957905082</v>
      </c>
      <c r="Z50" s="259">
        <f>'Income Statement Projections'!Y114</f>
        <v>1829.6710158822784</v>
      </c>
      <c r="AA50" s="259">
        <f>'Income Statement Projections'!Z114</f>
        <v>2118.9645147555589</v>
      </c>
      <c r="AB50" s="259">
        <f>'Income Statement Projections'!AA114</f>
        <v>2408.3263323042734</v>
      </c>
      <c r="AC50" s="259">
        <f>'Income Statement Projections'!AB114</f>
        <v>2697.7568101217771</v>
      </c>
      <c r="AD50" s="259">
        <f>'Income Statement Projections'!AC114</f>
        <v>2987.2562915094131</v>
      </c>
      <c r="AE50" s="259">
        <f>'Income Statement Projections'!AD114</f>
        <v>3276.8251214850707</v>
      </c>
      <c r="AF50" s="259">
        <f>'Income Statement Projections'!AE114</f>
        <v>3566.4636467916393</v>
      </c>
      <c r="AG50" s="259">
        <f>'Income Statement Projections'!AF114</f>
        <v>3856.1722159057927</v>
      </c>
      <c r="AH50" s="259">
        <f>'Income Statement Projections'!AG114</f>
        <v>4145.9511790465831</v>
      </c>
      <c r="AI50" s="259">
        <f>'Income Statement Projections'!AH114</f>
        <v>4435.8008881841297</v>
      </c>
      <c r="AJ50" s="259">
        <f>'Income Statement Projections'!AI114</f>
        <v>4725.7216970484069</v>
      </c>
      <c r="AK50" s="259">
        <f>'Income Statement Projections'!AJ114</f>
        <v>5015.7139611380662</v>
      </c>
      <c r="AL50" s="259">
        <f>'Income Statement Projections'!AK114</f>
        <v>5305.7780377292411</v>
      </c>
      <c r="AM50" s="259">
        <f>'Income Statement Projections'!AL114</f>
        <v>5595.9142858844143</v>
      </c>
      <c r="AN50" s="259">
        <f>'Income Statement Projections'!AM114</f>
        <v>5886.1230664614232</v>
      </c>
      <c r="AO50" s="259">
        <f>'Income Statement Projections'!AN114</f>
        <v>6176.4047421223759</v>
      </c>
      <c r="AP50" s="259">
        <f>'Income Statement Projections'!AO114</f>
        <v>6466.7596773426758</v>
      </c>
      <c r="AQ50" s="259">
        <f>'Income Statement Projections'!AP114</f>
        <v>6757.1882384201381</v>
      </c>
      <c r="AR50" s="259">
        <f>'Income Statement Projections'!AQ114</f>
        <v>7047.6907934840492</v>
      </c>
      <c r="AS50" s="259">
        <f>'Income Statement Projections'!AR114</f>
        <v>7338.2677125043338</v>
      </c>
      <c r="AT50" s="259">
        <f>'Income Statement Projections'!AS114</f>
        <v>7628.9193673007612</v>
      </c>
      <c r="AU50" s="259">
        <f>'Income Statement Projections'!AT114</f>
        <v>7919.6461315522401</v>
      </c>
      <c r="AV50" s="259">
        <f>'Income Statement Projections'!AU114</f>
        <v>8210.4483808060177</v>
      </c>
      <c r="AW50" s="259">
        <f>'Income Statement Projections'!AV114</f>
        <v>8501.3264924871219</v>
      </c>
      <c r="AX50" s="259">
        <f>'Income Statement Projections'!AW114</f>
        <v>8792.2808459076987</v>
      </c>
      <c r="AY50" s="259">
        <f>'Income Statement Projections'!AX114</f>
        <v>8945.496940381905</v>
      </c>
      <c r="AZ50" s="259">
        <f>'Income Statement Projections'!AY114</f>
        <v>9098.7900409190042</v>
      </c>
      <c r="BA50" s="259">
        <f>'Income Statement Projections'!AZ114</f>
        <v>9252.160532549311</v>
      </c>
      <c r="BB50" s="259">
        <f>'Income Statement Projections'!BA114</f>
        <v>9405.6088022283147</v>
      </c>
      <c r="BC50" s="259">
        <f>'Income Statement Projections'!BB114</f>
        <v>9559.1352388462219</v>
      </c>
      <c r="BD50" s="259">
        <f>'Income Statement Projections'!BC114</f>
        <v>9712.7402332377569</v>
      </c>
      <c r="BE50" s="259">
        <f>'Income Statement Projections'!BD114</f>
        <v>9866.4241781917699</v>
      </c>
      <c r="BF50" s="259">
        <f>'Income Statement Projections'!BE114</f>
        <v>10020.187468461107</v>
      </c>
      <c r="BG50" s="259">
        <f>'Income Statement Projections'!BF114</f>
        <v>10174.030500772293</v>
      </c>
      <c r="BH50" s="259">
        <f>'Income Statement Projections'!BG114</f>
        <v>10327.953673835547</v>
      </c>
      <c r="BI50" s="259">
        <f>'Income Statement Projections'!BH114</f>
        <v>10481.957388354676</v>
      </c>
      <c r="BJ50" s="259">
        <f>'Income Statement Projections'!BI114</f>
        <v>10636.042047036926</v>
      </c>
      <c r="BK50" s="259">
        <f t="shared" si="2"/>
        <v>0</v>
      </c>
      <c r="BL50" s="259">
        <f t="shared" si="3"/>
        <v>-1925.4637168341415</v>
      </c>
      <c r="BM50" s="259">
        <f t="shared" si="4"/>
        <v>1829.6710158822784</v>
      </c>
      <c r="BN50" s="259">
        <f t="shared" si="5"/>
        <v>5305.7780377292411</v>
      </c>
      <c r="BO50" s="259">
        <f t="shared" si="6"/>
        <v>8792.2808459076987</v>
      </c>
      <c r="BP50" s="259">
        <f t="shared" si="7"/>
        <v>10636.042047036926</v>
      </c>
    </row>
    <row r="51" spans="1:68" ht="15.75">
      <c r="A51" s="321" t="s">
        <v>432</v>
      </c>
      <c r="B51" s="117"/>
      <c r="C51" s="259">
        <f>'Income Statement Projections'!B100</f>
        <v>0</v>
      </c>
      <c r="D51" s="259">
        <f>'Income Statement Projections'!C100</f>
        <v>0</v>
      </c>
      <c r="E51" s="259">
        <f>'Income Statement Projections'!D100</f>
        <v>0</v>
      </c>
      <c r="F51" s="259">
        <f>'Income Statement Projections'!E100</f>
        <v>0</v>
      </c>
      <c r="G51" s="259">
        <f>'Income Statement Projections'!F100</f>
        <v>0</v>
      </c>
      <c r="H51" s="259">
        <f>'Income Statement Projections'!G100</f>
        <v>0</v>
      </c>
      <c r="I51" s="259">
        <f>'Income Statement Projections'!H100</f>
        <v>0</v>
      </c>
      <c r="J51" s="259">
        <f>'Income Statement Projections'!I100</f>
        <v>0</v>
      </c>
      <c r="K51" s="259">
        <f>'Income Statement Projections'!J100</f>
        <v>0</v>
      </c>
      <c r="L51" s="259">
        <f>'Income Statement Projections'!K100</f>
        <v>0</v>
      </c>
      <c r="M51" s="259">
        <f>'Income Statement Projections'!L100</f>
        <v>0</v>
      </c>
      <c r="N51" s="259">
        <f>'Income Statement Projections'!M100</f>
        <v>0</v>
      </c>
      <c r="O51" s="259">
        <f>'Income Statement Projections'!N100</f>
        <v>0</v>
      </c>
      <c r="P51" s="259">
        <f>'Income Statement Projections'!O100</f>
        <v>0</v>
      </c>
      <c r="Q51" s="259">
        <f>'Income Statement Projections'!P100</f>
        <v>0</v>
      </c>
      <c r="R51" s="259">
        <f>'Income Statement Projections'!Q100</f>
        <v>0</v>
      </c>
      <c r="S51" s="259">
        <f>'Income Statement Projections'!R100</f>
        <v>0</v>
      </c>
      <c r="T51" s="259">
        <f>'Income Statement Projections'!S100</f>
        <v>0</v>
      </c>
      <c r="U51" s="259">
        <f>'Income Statement Projections'!T100</f>
        <v>0</v>
      </c>
      <c r="V51" s="259">
        <f>'Income Statement Projections'!U100</f>
        <v>0</v>
      </c>
      <c r="W51" s="259">
        <f>'Income Statement Projections'!V100</f>
        <v>0</v>
      </c>
      <c r="X51" s="259">
        <f>'Income Statement Projections'!W100</f>
        <v>0</v>
      </c>
      <c r="Y51" s="259">
        <f>'Income Statement Projections'!X100</f>
        <v>0</v>
      </c>
      <c r="Z51" s="259">
        <f>'Income Statement Projections'!Y100</f>
        <v>0</v>
      </c>
      <c r="AA51" s="259">
        <f>'Income Statement Projections'!Z100</f>
        <v>0</v>
      </c>
      <c r="AB51" s="259">
        <f>'Income Statement Projections'!AA100</f>
        <v>0</v>
      </c>
      <c r="AC51" s="259">
        <f>'Income Statement Projections'!AB100</f>
        <v>0</v>
      </c>
      <c r="AD51" s="259">
        <f>'Income Statement Projections'!AC100</f>
        <v>0</v>
      </c>
      <c r="AE51" s="259">
        <f>'Income Statement Projections'!AD100</f>
        <v>0</v>
      </c>
      <c r="AF51" s="259">
        <f>'Income Statement Projections'!AE100</f>
        <v>0</v>
      </c>
      <c r="AG51" s="259">
        <f>'Income Statement Projections'!AF100</f>
        <v>0</v>
      </c>
      <c r="AH51" s="259">
        <f>'Income Statement Projections'!AG100</f>
        <v>0</v>
      </c>
      <c r="AI51" s="259">
        <f>'Income Statement Projections'!AH100</f>
        <v>0</v>
      </c>
      <c r="AJ51" s="259">
        <f>'Income Statement Projections'!AI100</f>
        <v>0</v>
      </c>
      <c r="AK51" s="259">
        <f>'Income Statement Projections'!AJ100</f>
        <v>0</v>
      </c>
      <c r="AL51" s="259">
        <f>'Income Statement Projections'!AK100</f>
        <v>0</v>
      </c>
      <c r="AM51" s="259">
        <f>'Income Statement Projections'!AL100</f>
        <v>0</v>
      </c>
      <c r="AN51" s="259">
        <f>'Income Statement Projections'!AM100</f>
        <v>0</v>
      </c>
      <c r="AO51" s="259">
        <f>'Income Statement Projections'!AN100</f>
        <v>0</v>
      </c>
      <c r="AP51" s="259">
        <f>'Income Statement Projections'!AO100</f>
        <v>0</v>
      </c>
      <c r="AQ51" s="259">
        <f>'Income Statement Projections'!AP100</f>
        <v>0</v>
      </c>
      <c r="AR51" s="259">
        <f>'Income Statement Projections'!AQ100</f>
        <v>0</v>
      </c>
      <c r="AS51" s="259">
        <f>'Income Statement Projections'!AR100</f>
        <v>0</v>
      </c>
      <c r="AT51" s="259">
        <f>'Income Statement Projections'!AS100</f>
        <v>0</v>
      </c>
      <c r="AU51" s="259">
        <f>'Income Statement Projections'!AT100</f>
        <v>0</v>
      </c>
      <c r="AV51" s="259">
        <f>'Income Statement Projections'!AU100</f>
        <v>0</v>
      </c>
      <c r="AW51" s="259">
        <f>'Income Statement Projections'!AV100</f>
        <v>0</v>
      </c>
      <c r="AX51" s="259">
        <f>'Income Statement Projections'!AW100</f>
        <v>0</v>
      </c>
      <c r="AY51" s="259">
        <f>'Income Statement Projections'!AX100</f>
        <v>0</v>
      </c>
      <c r="AZ51" s="259">
        <f>'Income Statement Projections'!AY100</f>
        <v>0</v>
      </c>
      <c r="BA51" s="259">
        <f>'Income Statement Projections'!AZ100</f>
        <v>0</v>
      </c>
      <c r="BB51" s="259">
        <f>'Income Statement Projections'!BA100</f>
        <v>0</v>
      </c>
      <c r="BC51" s="259">
        <f>'Income Statement Projections'!BB100</f>
        <v>0</v>
      </c>
      <c r="BD51" s="259">
        <f>'Income Statement Projections'!BC100</f>
        <v>0</v>
      </c>
      <c r="BE51" s="259">
        <f>'Income Statement Projections'!BD100</f>
        <v>0</v>
      </c>
      <c r="BF51" s="259">
        <f>'Income Statement Projections'!BE100</f>
        <v>0</v>
      </c>
      <c r="BG51" s="259">
        <f>'Income Statement Projections'!BF100</f>
        <v>0</v>
      </c>
      <c r="BH51" s="259">
        <f>'Income Statement Projections'!BG100</f>
        <v>0</v>
      </c>
      <c r="BI51" s="259">
        <f>'Income Statement Projections'!BH100</f>
        <v>0</v>
      </c>
      <c r="BJ51" s="259">
        <f>'Income Statement Projections'!BI100</f>
        <v>0</v>
      </c>
      <c r="BK51" s="259">
        <f t="shared" si="2"/>
        <v>0</v>
      </c>
      <c r="BL51" s="259">
        <f t="shared" si="3"/>
        <v>0</v>
      </c>
      <c r="BM51" s="259">
        <f t="shared" si="4"/>
        <v>0</v>
      </c>
      <c r="BN51" s="259">
        <f t="shared" si="5"/>
        <v>0</v>
      </c>
      <c r="BO51" s="259">
        <f t="shared" si="6"/>
        <v>0</v>
      </c>
      <c r="BP51" s="259">
        <f t="shared" si="7"/>
        <v>0</v>
      </c>
    </row>
    <row r="52" spans="1:68">
      <c r="A52" s="324" t="s">
        <v>433</v>
      </c>
      <c r="B52" s="51"/>
      <c r="C52" s="325">
        <f t="shared" ref="C52:N52" si="171">SUM(C50:C51)</f>
        <v>-41551.599186012769</v>
      </c>
      <c r="D52" s="325">
        <f t="shared" si="171"/>
        <v>-5315.4960741432824</v>
      </c>
      <c r="E52" s="325">
        <f t="shared" si="171"/>
        <v>-4976.8212982661535</v>
      </c>
      <c r="F52" s="325">
        <f t="shared" si="171"/>
        <v>-4638.0745000613406</v>
      </c>
      <c r="G52" s="325">
        <f t="shared" si="171"/>
        <v>-4299.2553194172015</v>
      </c>
      <c r="H52" s="325">
        <f t="shared" si="171"/>
        <v>-3960.3633944215426</v>
      </c>
      <c r="I52" s="325">
        <f t="shared" si="171"/>
        <v>-3621.3983613526107</v>
      </c>
      <c r="J52" s="325">
        <f t="shared" si="171"/>
        <v>-3282.3598546700232</v>
      </c>
      <c r="K52" s="325">
        <f t="shared" si="171"/>
        <v>-2943.2475070057362</v>
      </c>
      <c r="L52" s="325">
        <f t="shared" si="171"/>
        <v>-2604.0609491548157</v>
      </c>
      <c r="M52" s="325">
        <f t="shared" si="171"/>
        <v>-2264.7998100663481</v>
      </c>
      <c r="N52" s="325">
        <f t="shared" si="171"/>
        <v>-1925.4637168341415</v>
      </c>
      <c r="O52" s="325">
        <f t="shared" ref="O52:BJ52" si="172">SUM(O50:O51)</f>
        <v>-1586.0522946874671</v>
      </c>
      <c r="P52" s="325">
        <f t="shared" si="172"/>
        <v>-1246.5651669817612</v>
      </c>
      <c r="Q52" s="325">
        <f t="shared" si="172"/>
        <v>-907.00195518922908</v>
      </c>
      <c r="R52" s="325">
        <f t="shared" si="172"/>
        <v>-567.36227888943108</v>
      </c>
      <c r="S52" s="325">
        <f t="shared" si="172"/>
        <v>-227.64575575984145</v>
      </c>
      <c r="T52" s="325">
        <f t="shared" si="172"/>
        <v>95.325798668647579</v>
      </c>
      <c r="U52" s="325">
        <f t="shared" si="172"/>
        <v>384.21646436953466</v>
      </c>
      <c r="V52" s="325">
        <f t="shared" si="172"/>
        <v>673.17343457998425</v>
      </c>
      <c r="W52" s="325">
        <f t="shared" si="172"/>
        <v>962.19704082254066</v>
      </c>
      <c r="X52" s="325">
        <f t="shared" si="172"/>
        <v>1251.2876162773646</v>
      </c>
      <c r="Y52" s="325">
        <f t="shared" si="172"/>
        <v>1540.4454957905082</v>
      </c>
      <c r="Z52" s="325">
        <f t="shared" si="172"/>
        <v>1829.6710158822784</v>
      </c>
      <c r="AA52" s="325">
        <f t="shared" si="172"/>
        <v>2118.9645147555589</v>
      </c>
      <c r="AB52" s="325">
        <f t="shared" si="172"/>
        <v>2408.3263323042734</v>
      </c>
      <c r="AC52" s="325">
        <f t="shared" si="172"/>
        <v>2697.7568101217771</v>
      </c>
      <c r="AD52" s="325">
        <f t="shared" si="172"/>
        <v>2987.2562915094131</v>
      </c>
      <c r="AE52" s="325">
        <f t="shared" si="172"/>
        <v>3276.8251214850707</v>
      </c>
      <c r="AF52" s="325">
        <f t="shared" si="172"/>
        <v>3566.4636467916393</v>
      </c>
      <c r="AG52" s="325">
        <f t="shared" si="172"/>
        <v>3856.1722159057927</v>
      </c>
      <c r="AH52" s="325">
        <f t="shared" si="172"/>
        <v>4145.9511790465831</v>
      </c>
      <c r="AI52" s="325">
        <f t="shared" si="172"/>
        <v>4435.8008881841297</v>
      </c>
      <c r="AJ52" s="325">
        <f t="shared" si="172"/>
        <v>4725.7216970484069</v>
      </c>
      <c r="AK52" s="325">
        <f t="shared" si="172"/>
        <v>5015.7139611380662</v>
      </c>
      <c r="AL52" s="325">
        <f t="shared" si="172"/>
        <v>5305.7780377292411</v>
      </c>
      <c r="AM52" s="325">
        <f t="shared" si="172"/>
        <v>5595.9142858844143</v>
      </c>
      <c r="AN52" s="325">
        <f t="shared" si="172"/>
        <v>5886.1230664614232</v>
      </c>
      <c r="AO52" s="325">
        <f t="shared" si="172"/>
        <v>6176.4047421223759</v>
      </c>
      <c r="AP52" s="325">
        <f t="shared" si="172"/>
        <v>6466.7596773426758</v>
      </c>
      <c r="AQ52" s="325">
        <f t="shared" si="172"/>
        <v>6757.1882384201381</v>
      </c>
      <c r="AR52" s="325">
        <f t="shared" si="172"/>
        <v>7047.6907934840492</v>
      </c>
      <c r="AS52" s="325">
        <f t="shared" si="172"/>
        <v>7338.2677125043338</v>
      </c>
      <c r="AT52" s="325">
        <f t="shared" si="172"/>
        <v>7628.9193673007612</v>
      </c>
      <c r="AU52" s="325">
        <f t="shared" si="172"/>
        <v>7919.6461315522401</v>
      </c>
      <c r="AV52" s="325">
        <f t="shared" si="172"/>
        <v>8210.4483808060177</v>
      </c>
      <c r="AW52" s="325">
        <f t="shared" si="172"/>
        <v>8501.3264924871219</v>
      </c>
      <c r="AX52" s="325">
        <f t="shared" si="172"/>
        <v>8792.2808459076987</v>
      </c>
      <c r="AY52" s="325">
        <f t="shared" si="172"/>
        <v>8945.496940381905</v>
      </c>
      <c r="AZ52" s="325">
        <f t="shared" si="172"/>
        <v>9098.7900409190042</v>
      </c>
      <c r="BA52" s="325">
        <f t="shared" si="172"/>
        <v>9252.160532549311</v>
      </c>
      <c r="BB52" s="325">
        <f t="shared" si="172"/>
        <v>9405.6088022283147</v>
      </c>
      <c r="BC52" s="325">
        <f t="shared" si="172"/>
        <v>9559.1352388462219</v>
      </c>
      <c r="BD52" s="325">
        <f t="shared" si="172"/>
        <v>9712.7402332377569</v>
      </c>
      <c r="BE52" s="325">
        <f t="shared" si="172"/>
        <v>9866.4241781917699</v>
      </c>
      <c r="BF52" s="325">
        <f t="shared" si="172"/>
        <v>10020.187468461107</v>
      </c>
      <c r="BG52" s="325">
        <f t="shared" si="172"/>
        <v>10174.030500772293</v>
      </c>
      <c r="BH52" s="325">
        <f t="shared" si="172"/>
        <v>10327.953673835547</v>
      </c>
      <c r="BI52" s="325">
        <f t="shared" si="172"/>
        <v>10481.957388354676</v>
      </c>
      <c r="BJ52" s="325">
        <f t="shared" si="172"/>
        <v>10636.042047036926</v>
      </c>
      <c r="BK52" s="325">
        <f t="shared" si="2"/>
        <v>0</v>
      </c>
      <c r="BL52" s="325">
        <f t="shared" si="3"/>
        <v>-1925.4637168341415</v>
      </c>
      <c r="BM52" s="325">
        <f t="shared" si="4"/>
        <v>1829.6710158822784</v>
      </c>
      <c r="BN52" s="325">
        <f t="shared" si="5"/>
        <v>5305.7780377292411</v>
      </c>
      <c r="BO52" s="325">
        <f t="shared" si="6"/>
        <v>8792.2808459076987</v>
      </c>
      <c r="BP52" s="325">
        <f t="shared" si="7"/>
        <v>10636.042047036926</v>
      </c>
    </row>
    <row r="53" spans="1:68">
      <c r="A53" s="322"/>
    </row>
    <row r="54" spans="1:68">
      <c r="A54" s="322" t="s">
        <v>434</v>
      </c>
      <c r="BK54">
        <f t="shared" si="2"/>
        <v>0</v>
      </c>
      <c r="BL54">
        <f t="shared" si="3"/>
        <v>0</v>
      </c>
      <c r="BM54">
        <f t="shared" si="4"/>
        <v>0</v>
      </c>
      <c r="BN54">
        <f t="shared" si="5"/>
        <v>0</v>
      </c>
      <c r="BO54">
        <f t="shared" si="6"/>
        <v>0</v>
      </c>
      <c r="BP54">
        <f t="shared" si="7"/>
        <v>0</v>
      </c>
    </row>
    <row r="55" spans="1:68" ht="15.75">
      <c r="A55" s="321" t="s">
        <v>435</v>
      </c>
      <c r="C55" s="255">
        <f t="shared" ref="C55:N55" si="173">B6-C6</f>
        <v>-21433.5</v>
      </c>
      <c r="D55" s="255">
        <f t="shared" si="173"/>
        <v>-25330.5</v>
      </c>
      <c r="E55" s="255">
        <f t="shared" si="173"/>
        <v>-3897</v>
      </c>
      <c r="F55" s="255">
        <f t="shared" si="173"/>
        <v>-3897</v>
      </c>
      <c r="G55" s="255">
        <f t="shared" si="173"/>
        <v>-3897</v>
      </c>
      <c r="H55" s="255">
        <f t="shared" si="173"/>
        <v>-3897</v>
      </c>
      <c r="I55" s="255">
        <f t="shared" si="173"/>
        <v>-3897</v>
      </c>
      <c r="J55" s="255">
        <f t="shared" si="173"/>
        <v>-3897</v>
      </c>
      <c r="K55" s="255">
        <f t="shared" si="173"/>
        <v>-3897</v>
      </c>
      <c r="L55" s="255">
        <f t="shared" si="173"/>
        <v>-3897</v>
      </c>
      <c r="M55" s="255">
        <f t="shared" si="173"/>
        <v>-3897</v>
      </c>
      <c r="N55" s="255">
        <f t="shared" si="173"/>
        <v>-3897</v>
      </c>
      <c r="O55" s="255">
        <f t="shared" ref="O55:BJ55" si="174">N6-O6</f>
        <v>-3897</v>
      </c>
      <c r="P55" s="255">
        <f t="shared" si="174"/>
        <v>-3897</v>
      </c>
      <c r="Q55" s="255">
        <f t="shared" si="174"/>
        <v>-3897</v>
      </c>
      <c r="R55" s="255">
        <f t="shared" si="174"/>
        <v>-3897</v>
      </c>
      <c r="S55" s="255">
        <f t="shared" si="174"/>
        <v>-3897</v>
      </c>
      <c r="T55" s="255">
        <f t="shared" si="174"/>
        <v>-3897</v>
      </c>
      <c r="U55" s="255">
        <f t="shared" si="174"/>
        <v>-3897</v>
      </c>
      <c r="V55" s="255">
        <f t="shared" si="174"/>
        <v>-3897</v>
      </c>
      <c r="W55" s="255">
        <f t="shared" si="174"/>
        <v>-3897</v>
      </c>
      <c r="X55" s="255">
        <f t="shared" si="174"/>
        <v>-3897</v>
      </c>
      <c r="Y55" s="255">
        <f t="shared" si="174"/>
        <v>-3897</v>
      </c>
      <c r="Z55" s="255">
        <f t="shared" si="174"/>
        <v>-3897</v>
      </c>
      <c r="AA55" s="255">
        <f t="shared" si="174"/>
        <v>-3897</v>
      </c>
      <c r="AB55" s="255">
        <f t="shared" si="174"/>
        <v>-3897</v>
      </c>
      <c r="AC55" s="255">
        <f t="shared" si="174"/>
        <v>-3897</v>
      </c>
      <c r="AD55" s="255">
        <f t="shared" si="174"/>
        <v>-3897</v>
      </c>
      <c r="AE55" s="255">
        <f t="shared" si="174"/>
        <v>-3897</v>
      </c>
      <c r="AF55" s="255">
        <f t="shared" si="174"/>
        <v>-3897</v>
      </c>
      <c r="AG55" s="255">
        <f t="shared" si="174"/>
        <v>-3897</v>
      </c>
      <c r="AH55" s="255">
        <f t="shared" si="174"/>
        <v>-3897</v>
      </c>
      <c r="AI55" s="255">
        <f t="shared" si="174"/>
        <v>-3897</v>
      </c>
      <c r="AJ55" s="255">
        <f t="shared" si="174"/>
        <v>-3897</v>
      </c>
      <c r="AK55" s="255">
        <f t="shared" si="174"/>
        <v>-3897</v>
      </c>
      <c r="AL55" s="255">
        <f t="shared" si="174"/>
        <v>-3897</v>
      </c>
      <c r="AM55" s="255">
        <f t="shared" si="174"/>
        <v>-3897</v>
      </c>
      <c r="AN55" s="255">
        <f t="shared" si="174"/>
        <v>-3897</v>
      </c>
      <c r="AO55" s="255">
        <f t="shared" si="174"/>
        <v>-3897</v>
      </c>
      <c r="AP55" s="255">
        <f t="shared" si="174"/>
        <v>-3897</v>
      </c>
      <c r="AQ55" s="255">
        <f t="shared" si="174"/>
        <v>-3897</v>
      </c>
      <c r="AR55" s="255">
        <f t="shared" si="174"/>
        <v>-3897</v>
      </c>
      <c r="AS55" s="255">
        <f t="shared" si="174"/>
        <v>-3897</v>
      </c>
      <c r="AT55" s="255">
        <f t="shared" si="174"/>
        <v>-3897</v>
      </c>
      <c r="AU55" s="255">
        <f t="shared" si="174"/>
        <v>-3897</v>
      </c>
      <c r="AV55" s="255">
        <f t="shared" si="174"/>
        <v>-3897</v>
      </c>
      <c r="AW55" s="255">
        <f t="shared" si="174"/>
        <v>-3897</v>
      </c>
      <c r="AX55" s="255">
        <f t="shared" si="174"/>
        <v>-3897</v>
      </c>
      <c r="AY55" s="255">
        <f t="shared" si="174"/>
        <v>-1948.5</v>
      </c>
      <c r="AZ55" s="255">
        <f t="shared" si="174"/>
        <v>-1948.5</v>
      </c>
      <c r="BA55" s="255">
        <f t="shared" si="174"/>
        <v>-1948.5</v>
      </c>
      <c r="BB55" s="255">
        <f t="shared" si="174"/>
        <v>-1948.5</v>
      </c>
      <c r="BC55" s="255">
        <f t="shared" si="174"/>
        <v>-1948.5</v>
      </c>
      <c r="BD55" s="255">
        <f t="shared" si="174"/>
        <v>-1948.5</v>
      </c>
      <c r="BE55" s="255">
        <f t="shared" si="174"/>
        <v>-1948.5</v>
      </c>
      <c r="BF55" s="255">
        <f t="shared" si="174"/>
        <v>-1948.5</v>
      </c>
      <c r="BG55" s="255">
        <f t="shared" si="174"/>
        <v>-1948.5</v>
      </c>
      <c r="BH55" s="255">
        <f t="shared" si="174"/>
        <v>-1948.5</v>
      </c>
      <c r="BI55" s="255">
        <f t="shared" si="174"/>
        <v>-1948.5</v>
      </c>
      <c r="BJ55" s="255">
        <f t="shared" si="174"/>
        <v>-1948.5</v>
      </c>
      <c r="BK55" s="255">
        <f t="shared" si="2"/>
        <v>0</v>
      </c>
      <c r="BL55" s="255">
        <f t="shared" si="3"/>
        <v>-3897</v>
      </c>
      <c r="BM55" s="255">
        <f t="shared" si="4"/>
        <v>-3897</v>
      </c>
      <c r="BN55" s="255">
        <f t="shared" si="5"/>
        <v>-3897</v>
      </c>
      <c r="BO55" s="255">
        <f t="shared" si="6"/>
        <v>-3897</v>
      </c>
      <c r="BP55" s="255">
        <f t="shared" si="7"/>
        <v>-1948.5</v>
      </c>
    </row>
    <row r="56" spans="1:68" ht="15.75">
      <c r="A56" s="321" t="s">
        <v>436</v>
      </c>
      <c r="C56" s="255">
        <f t="shared" ref="C56:N56" si="175">B7-C7</f>
        <v>576.63225749427875</v>
      </c>
      <c r="D56" s="255">
        <f t="shared" si="175"/>
        <v>628.24844756951597</v>
      </c>
      <c r="E56" s="255">
        <f t="shared" si="175"/>
        <v>679.86463764475366</v>
      </c>
      <c r="F56" s="255">
        <f t="shared" si="175"/>
        <v>731.48082771999111</v>
      </c>
      <c r="G56" s="255">
        <f t="shared" si="175"/>
        <v>783.09701779522845</v>
      </c>
      <c r="H56" s="255">
        <f t="shared" si="175"/>
        <v>834.71320787046602</v>
      </c>
      <c r="I56" s="255">
        <f t="shared" si="175"/>
        <v>1.1368683772161603E-13</v>
      </c>
      <c r="J56" s="255">
        <f t="shared" si="175"/>
        <v>0</v>
      </c>
      <c r="K56" s="255">
        <f t="shared" si="175"/>
        <v>0</v>
      </c>
      <c r="L56" s="255">
        <f t="shared" si="175"/>
        <v>0</v>
      </c>
      <c r="M56" s="255">
        <f t="shared" si="175"/>
        <v>0</v>
      </c>
      <c r="N56" s="255">
        <f t="shared" si="175"/>
        <v>0</v>
      </c>
      <c r="O56" s="255">
        <f t="shared" ref="O56:BJ56" si="176">N7-O7</f>
        <v>0</v>
      </c>
      <c r="P56" s="255">
        <f t="shared" si="176"/>
        <v>0</v>
      </c>
      <c r="Q56" s="255">
        <f t="shared" si="176"/>
        <v>0</v>
      </c>
      <c r="R56" s="255">
        <f t="shared" si="176"/>
        <v>0</v>
      </c>
      <c r="S56" s="255">
        <f t="shared" si="176"/>
        <v>0</v>
      </c>
      <c r="T56" s="255">
        <f t="shared" si="176"/>
        <v>0</v>
      </c>
      <c r="U56" s="255">
        <f t="shared" si="176"/>
        <v>0</v>
      </c>
      <c r="V56" s="255">
        <f t="shared" si="176"/>
        <v>0</v>
      </c>
      <c r="W56" s="255">
        <f t="shared" si="176"/>
        <v>0</v>
      </c>
      <c r="X56" s="255">
        <f t="shared" si="176"/>
        <v>0</v>
      </c>
      <c r="Y56" s="255">
        <f t="shared" si="176"/>
        <v>0</v>
      </c>
      <c r="Z56" s="255">
        <f t="shared" si="176"/>
        <v>0</v>
      </c>
      <c r="AA56" s="255">
        <f t="shared" si="176"/>
        <v>0</v>
      </c>
      <c r="AB56" s="255">
        <f t="shared" si="176"/>
        <v>0</v>
      </c>
      <c r="AC56" s="255">
        <f t="shared" si="176"/>
        <v>0</v>
      </c>
      <c r="AD56" s="255">
        <f t="shared" si="176"/>
        <v>0</v>
      </c>
      <c r="AE56" s="255">
        <f t="shared" si="176"/>
        <v>0</v>
      </c>
      <c r="AF56" s="255">
        <f t="shared" si="176"/>
        <v>0</v>
      </c>
      <c r="AG56" s="255">
        <f t="shared" si="176"/>
        <v>0</v>
      </c>
      <c r="AH56" s="255">
        <f t="shared" si="176"/>
        <v>0</v>
      </c>
      <c r="AI56" s="255">
        <f t="shared" si="176"/>
        <v>0</v>
      </c>
      <c r="AJ56" s="255">
        <f t="shared" si="176"/>
        <v>0</v>
      </c>
      <c r="AK56" s="255">
        <f t="shared" si="176"/>
        <v>0</v>
      </c>
      <c r="AL56" s="255">
        <f t="shared" si="176"/>
        <v>0</v>
      </c>
      <c r="AM56" s="255">
        <f t="shared" si="176"/>
        <v>0</v>
      </c>
      <c r="AN56" s="255">
        <f t="shared" si="176"/>
        <v>0</v>
      </c>
      <c r="AO56" s="255">
        <f t="shared" si="176"/>
        <v>0</v>
      </c>
      <c r="AP56" s="255">
        <f t="shared" si="176"/>
        <v>0</v>
      </c>
      <c r="AQ56" s="255">
        <f t="shared" si="176"/>
        <v>0</v>
      </c>
      <c r="AR56" s="255">
        <f t="shared" si="176"/>
        <v>0</v>
      </c>
      <c r="AS56" s="255">
        <f t="shared" si="176"/>
        <v>0</v>
      </c>
      <c r="AT56" s="255">
        <f t="shared" si="176"/>
        <v>0</v>
      </c>
      <c r="AU56" s="255">
        <f t="shared" si="176"/>
        <v>0</v>
      </c>
      <c r="AV56" s="255">
        <f t="shared" si="176"/>
        <v>0</v>
      </c>
      <c r="AW56" s="255">
        <f t="shared" si="176"/>
        <v>0</v>
      </c>
      <c r="AX56" s="255">
        <f t="shared" si="176"/>
        <v>0</v>
      </c>
      <c r="AY56" s="255">
        <f t="shared" si="176"/>
        <v>0</v>
      </c>
      <c r="AZ56" s="255">
        <f t="shared" si="176"/>
        <v>0</v>
      </c>
      <c r="BA56" s="255">
        <f t="shared" si="176"/>
        <v>0</v>
      </c>
      <c r="BB56" s="255">
        <f t="shared" si="176"/>
        <v>0</v>
      </c>
      <c r="BC56" s="255">
        <f t="shared" si="176"/>
        <v>0</v>
      </c>
      <c r="BD56" s="255">
        <f t="shared" si="176"/>
        <v>0</v>
      </c>
      <c r="BE56" s="255">
        <f t="shared" si="176"/>
        <v>0</v>
      </c>
      <c r="BF56" s="255">
        <f t="shared" si="176"/>
        <v>0</v>
      </c>
      <c r="BG56" s="255">
        <f t="shared" si="176"/>
        <v>0</v>
      </c>
      <c r="BH56" s="255">
        <f t="shared" si="176"/>
        <v>0</v>
      </c>
      <c r="BI56" s="255">
        <f t="shared" si="176"/>
        <v>0</v>
      </c>
      <c r="BJ56" s="255">
        <f t="shared" si="176"/>
        <v>0</v>
      </c>
      <c r="BK56" s="255">
        <f t="shared" si="2"/>
        <v>0</v>
      </c>
      <c r="BL56" s="255">
        <f t="shared" si="3"/>
        <v>0</v>
      </c>
      <c r="BM56" s="255">
        <f t="shared" si="4"/>
        <v>0</v>
      </c>
      <c r="BN56" s="255">
        <f t="shared" si="5"/>
        <v>0</v>
      </c>
      <c r="BO56" s="255">
        <f t="shared" si="6"/>
        <v>0</v>
      </c>
      <c r="BP56" s="255">
        <f t="shared" si="7"/>
        <v>0</v>
      </c>
    </row>
    <row r="57" spans="1:68" ht="15.75">
      <c r="A57" s="321" t="s">
        <v>437</v>
      </c>
      <c r="C57" s="255">
        <f t="shared" ref="C57:N57" si="177">B8-C8</f>
        <v>0</v>
      </c>
      <c r="D57" s="255">
        <f t="shared" si="177"/>
        <v>0</v>
      </c>
      <c r="E57" s="255">
        <f t="shared" si="177"/>
        <v>0</v>
      </c>
      <c r="F57" s="255">
        <f t="shared" si="177"/>
        <v>0</v>
      </c>
      <c r="G57" s="255">
        <f t="shared" si="177"/>
        <v>0</v>
      </c>
      <c r="H57" s="255">
        <f t="shared" si="177"/>
        <v>0</v>
      </c>
      <c r="I57" s="255">
        <f t="shared" si="177"/>
        <v>0</v>
      </c>
      <c r="J57" s="255">
        <f t="shared" si="177"/>
        <v>0</v>
      </c>
      <c r="K57" s="255">
        <f t="shared" si="177"/>
        <v>0</v>
      </c>
      <c r="L57" s="255">
        <f t="shared" si="177"/>
        <v>0</v>
      </c>
      <c r="M57" s="255">
        <f t="shared" si="177"/>
        <v>0</v>
      </c>
      <c r="N57" s="255">
        <f t="shared" si="177"/>
        <v>0</v>
      </c>
      <c r="O57" s="255">
        <f t="shared" ref="O57:BJ57" si="178">N8-O8</f>
        <v>0</v>
      </c>
      <c r="P57" s="255">
        <f t="shared" si="178"/>
        <v>0</v>
      </c>
      <c r="Q57" s="255">
        <f t="shared" si="178"/>
        <v>0</v>
      </c>
      <c r="R57" s="255">
        <f t="shared" si="178"/>
        <v>0</v>
      </c>
      <c r="S57" s="255">
        <f t="shared" si="178"/>
        <v>0</v>
      </c>
      <c r="T57" s="255">
        <f t="shared" si="178"/>
        <v>0</v>
      </c>
      <c r="U57" s="255">
        <f t="shared" si="178"/>
        <v>0</v>
      </c>
      <c r="V57" s="255">
        <f t="shared" si="178"/>
        <v>0</v>
      </c>
      <c r="W57" s="255">
        <f t="shared" si="178"/>
        <v>0</v>
      </c>
      <c r="X57" s="255">
        <f t="shared" si="178"/>
        <v>0</v>
      </c>
      <c r="Y57" s="255">
        <f t="shared" si="178"/>
        <v>0</v>
      </c>
      <c r="Z57" s="255">
        <f t="shared" si="178"/>
        <v>0</v>
      </c>
      <c r="AA57" s="255">
        <f t="shared" si="178"/>
        <v>0</v>
      </c>
      <c r="AB57" s="255">
        <f t="shared" si="178"/>
        <v>0</v>
      </c>
      <c r="AC57" s="255">
        <f t="shared" si="178"/>
        <v>0</v>
      </c>
      <c r="AD57" s="255">
        <f t="shared" si="178"/>
        <v>0</v>
      </c>
      <c r="AE57" s="255">
        <f t="shared" si="178"/>
        <v>0</v>
      </c>
      <c r="AF57" s="255">
        <f t="shared" si="178"/>
        <v>0</v>
      </c>
      <c r="AG57" s="255">
        <f t="shared" si="178"/>
        <v>0</v>
      </c>
      <c r="AH57" s="255">
        <f t="shared" si="178"/>
        <v>0</v>
      </c>
      <c r="AI57" s="255">
        <f t="shared" si="178"/>
        <v>0</v>
      </c>
      <c r="AJ57" s="255">
        <f t="shared" si="178"/>
        <v>0</v>
      </c>
      <c r="AK57" s="255">
        <f t="shared" si="178"/>
        <v>0</v>
      </c>
      <c r="AL57" s="255">
        <f t="shared" si="178"/>
        <v>0</v>
      </c>
      <c r="AM57" s="255">
        <f t="shared" si="178"/>
        <v>0</v>
      </c>
      <c r="AN57" s="255">
        <f t="shared" si="178"/>
        <v>0</v>
      </c>
      <c r="AO57" s="255">
        <f t="shared" si="178"/>
        <v>0</v>
      </c>
      <c r="AP57" s="255">
        <f t="shared" si="178"/>
        <v>0</v>
      </c>
      <c r="AQ57" s="255">
        <f t="shared" si="178"/>
        <v>0</v>
      </c>
      <c r="AR57" s="255">
        <f t="shared" si="178"/>
        <v>0</v>
      </c>
      <c r="AS57" s="255">
        <f t="shared" si="178"/>
        <v>0</v>
      </c>
      <c r="AT57" s="255">
        <f t="shared" si="178"/>
        <v>0</v>
      </c>
      <c r="AU57" s="255">
        <f t="shared" si="178"/>
        <v>0</v>
      </c>
      <c r="AV57" s="255">
        <f t="shared" si="178"/>
        <v>0</v>
      </c>
      <c r="AW57" s="255">
        <f t="shared" si="178"/>
        <v>0</v>
      </c>
      <c r="AX57" s="255">
        <f t="shared" si="178"/>
        <v>0</v>
      </c>
      <c r="AY57" s="255">
        <f t="shared" si="178"/>
        <v>0</v>
      </c>
      <c r="AZ57" s="255">
        <f t="shared" si="178"/>
        <v>0</v>
      </c>
      <c r="BA57" s="255">
        <f t="shared" si="178"/>
        <v>0</v>
      </c>
      <c r="BB57" s="255">
        <f t="shared" si="178"/>
        <v>0</v>
      </c>
      <c r="BC57" s="255">
        <f t="shared" si="178"/>
        <v>0</v>
      </c>
      <c r="BD57" s="255">
        <f t="shared" si="178"/>
        <v>0</v>
      </c>
      <c r="BE57" s="255">
        <f t="shared" si="178"/>
        <v>0</v>
      </c>
      <c r="BF57" s="255">
        <f t="shared" si="178"/>
        <v>0</v>
      </c>
      <c r="BG57" s="255">
        <f t="shared" si="178"/>
        <v>0</v>
      </c>
      <c r="BH57" s="255">
        <f t="shared" si="178"/>
        <v>0</v>
      </c>
      <c r="BI57" s="255">
        <f t="shared" si="178"/>
        <v>0</v>
      </c>
      <c r="BJ57" s="255">
        <f t="shared" si="178"/>
        <v>0</v>
      </c>
      <c r="BK57" s="255">
        <f t="shared" si="2"/>
        <v>0</v>
      </c>
      <c r="BL57" s="255">
        <f t="shared" si="3"/>
        <v>0</v>
      </c>
      <c r="BM57" s="255">
        <f t="shared" si="4"/>
        <v>0</v>
      </c>
      <c r="BN57" s="255">
        <f t="shared" si="5"/>
        <v>0</v>
      </c>
      <c r="BO57" s="255">
        <f t="shared" si="6"/>
        <v>0</v>
      </c>
      <c r="BP57" s="255">
        <f t="shared" si="7"/>
        <v>0</v>
      </c>
    </row>
    <row r="58" spans="1:68" ht="15.75">
      <c r="A58" s="321" t="s">
        <v>438</v>
      </c>
      <c r="C58" s="288">
        <f t="shared" ref="C58:N58" si="179">C26-B26</f>
        <v>0</v>
      </c>
      <c r="D58" s="288">
        <f t="shared" si="179"/>
        <v>0</v>
      </c>
      <c r="E58" s="288">
        <f t="shared" si="179"/>
        <v>0</v>
      </c>
      <c r="F58" s="288">
        <f t="shared" si="179"/>
        <v>0</v>
      </c>
      <c r="G58" s="288">
        <f t="shared" si="179"/>
        <v>0</v>
      </c>
      <c r="H58" s="288">
        <f t="shared" si="179"/>
        <v>0</v>
      </c>
      <c r="I58" s="288">
        <f t="shared" si="179"/>
        <v>0</v>
      </c>
      <c r="J58" s="288">
        <f t="shared" si="179"/>
        <v>0</v>
      </c>
      <c r="K58" s="288">
        <f t="shared" si="179"/>
        <v>0</v>
      </c>
      <c r="L58" s="288">
        <f t="shared" si="179"/>
        <v>0</v>
      </c>
      <c r="M58" s="288">
        <f t="shared" si="179"/>
        <v>0</v>
      </c>
      <c r="N58" s="288">
        <f t="shared" si="179"/>
        <v>0</v>
      </c>
      <c r="O58" s="288">
        <f t="shared" ref="O58:BJ58" si="180">O26-N26</f>
        <v>0</v>
      </c>
      <c r="P58" s="288">
        <f t="shared" si="180"/>
        <v>0</v>
      </c>
      <c r="Q58" s="288">
        <f t="shared" si="180"/>
        <v>0</v>
      </c>
      <c r="R58" s="288">
        <f t="shared" si="180"/>
        <v>0</v>
      </c>
      <c r="S58" s="288">
        <f t="shared" si="180"/>
        <v>0</v>
      </c>
      <c r="T58" s="288">
        <f t="shared" si="180"/>
        <v>0</v>
      </c>
      <c r="U58" s="288">
        <f t="shared" si="180"/>
        <v>0</v>
      </c>
      <c r="V58" s="288">
        <f t="shared" si="180"/>
        <v>0</v>
      </c>
      <c r="W58" s="288">
        <f t="shared" si="180"/>
        <v>0</v>
      </c>
      <c r="X58" s="288">
        <f t="shared" si="180"/>
        <v>0</v>
      </c>
      <c r="Y58" s="288">
        <f t="shared" si="180"/>
        <v>0</v>
      </c>
      <c r="Z58" s="288">
        <f t="shared" si="180"/>
        <v>0</v>
      </c>
      <c r="AA58" s="288">
        <f t="shared" si="180"/>
        <v>0</v>
      </c>
      <c r="AB58" s="288">
        <f t="shared" si="180"/>
        <v>0</v>
      </c>
      <c r="AC58" s="288">
        <f t="shared" si="180"/>
        <v>0</v>
      </c>
      <c r="AD58" s="288">
        <f t="shared" si="180"/>
        <v>0</v>
      </c>
      <c r="AE58" s="288">
        <f t="shared" si="180"/>
        <v>0</v>
      </c>
      <c r="AF58" s="288">
        <f t="shared" si="180"/>
        <v>0</v>
      </c>
      <c r="AG58" s="288">
        <f t="shared" si="180"/>
        <v>0</v>
      </c>
      <c r="AH58" s="288">
        <f t="shared" si="180"/>
        <v>0</v>
      </c>
      <c r="AI58" s="288">
        <f t="shared" si="180"/>
        <v>0</v>
      </c>
      <c r="AJ58" s="288">
        <f t="shared" si="180"/>
        <v>0</v>
      </c>
      <c r="AK58" s="288">
        <f t="shared" si="180"/>
        <v>0</v>
      </c>
      <c r="AL58" s="288">
        <f t="shared" si="180"/>
        <v>0</v>
      </c>
      <c r="AM58" s="288">
        <f t="shared" si="180"/>
        <v>0</v>
      </c>
      <c r="AN58" s="288">
        <f t="shared" si="180"/>
        <v>0</v>
      </c>
      <c r="AO58" s="288">
        <f t="shared" si="180"/>
        <v>0</v>
      </c>
      <c r="AP58" s="288">
        <f t="shared" si="180"/>
        <v>0</v>
      </c>
      <c r="AQ58" s="288">
        <f t="shared" si="180"/>
        <v>0</v>
      </c>
      <c r="AR58" s="288">
        <f t="shared" si="180"/>
        <v>0</v>
      </c>
      <c r="AS58" s="288">
        <f t="shared" si="180"/>
        <v>0</v>
      </c>
      <c r="AT58" s="288">
        <f t="shared" si="180"/>
        <v>0</v>
      </c>
      <c r="AU58" s="288">
        <f t="shared" si="180"/>
        <v>0</v>
      </c>
      <c r="AV58" s="288">
        <f t="shared" si="180"/>
        <v>0</v>
      </c>
      <c r="AW58" s="288">
        <f t="shared" si="180"/>
        <v>0</v>
      </c>
      <c r="AX58" s="288">
        <f t="shared" si="180"/>
        <v>0</v>
      </c>
      <c r="AY58" s="288">
        <f t="shared" si="180"/>
        <v>0</v>
      </c>
      <c r="AZ58" s="288">
        <f t="shared" si="180"/>
        <v>0</v>
      </c>
      <c r="BA58" s="288">
        <f t="shared" si="180"/>
        <v>0</v>
      </c>
      <c r="BB58" s="288">
        <f t="shared" si="180"/>
        <v>0</v>
      </c>
      <c r="BC58" s="288">
        <f t="shared" si="180"/>
        <v>0</v>
      </c>
      <c r="BD58" s="288">
        <f t="shared" si="180"/>
        <v>0</v>
      </c>
      <c r="BE58" s="288">
        <f t="shared" si="180"/>
        <v>0</v>
      </c>
      <c r="BF58" s="288">
        <f t="shared" si="180"/>
        <v>0</v>
      </c>
      <c r="BG58" s="288">
        <f t="shared" si="180"/>
        <v>0</v>
      </c>
      <c r="BH58" s="288">
        <f t="shared" si="180"/>
        <v>0</v>
      </c>
      <c r="BI58" s="288">
        <f t="shared" si="180"/>
        <v>0</v>
      </c>
      <c r="BJ58" s="288">
        <f t="shared" si="180"/>
        <v>0</v>
      </c>
      <c r="BK58" s="288">
        <f t="shared" si="2"/>
        <v>0</v>
      </c>
      <c r="BL58" s="288">
        <f t="shared" si="3"/>
        <v>0</v>
      </c>
      <c r="BM58" s="288">
        <f t="shared" si="4"/>
        <v>0</v>
      </c>
      <c r="BN58" s="288">
        <f t="shared" si="5"/>
        <v>0</v>
      </c>
      <c r="BO58" s="288">
        <f t="shared" si="6"/>
        <v>0</v>
      </c>
      <c r="BP58" s="288">
        <f t="shared" si="7"/>
        <v>0</v>
      </c>
    </row>
    <row r="59" spans="1:68">
      <c r="A59" s="324" t="s">
        <v>439</v>
      </c>
      <c r="B59" s="51"/>
      <c r="C59" s="325">
        <f t="shared" ref="C59:N59" si="181">SUM(C55:C58)</f>
        <v>-20856.867742505721</v>
      </c>
      <c r="D59" s="325">
        <f t="shared" si="181"/>
        <v>-24702.251552430484</v>
      </c>
      <c r="E59" s="325">
        <f t="shared" si="181"/>
        <v>-3217.1353623552463</v>
      </c>
      <c r="F59" s="325">
        <f t="shared" si="181"/>
        <v>-3165.5191722800091</v>
      </c>
      <c r="G59" s="325">
        <f t="shared" si="181"/>
        <v>-3113.9029822047714</v>
      </c>
      <c r="H59" s="325">
        <f t="shared" si="181"/>
        <v>-3062.2867921295338</v>
      </c>
      <c r="I59" s="325">
        <f t="shared" si="181"/>
        <v>-3897</v>
      </c>
      <c r="J59" s="325">
        <f t="shared" si="181"/>
        <v>-3897</v>
      </c>
      <c r="K59" s="325">
        <f t="shared" si="181"/>
        <v>-3897</v>
      </c>
      <c r="L59" s="325">
        <f t="shared" si="181"/>
        <v>-3897</v>
      </c>
      <c r="M59" s="325">
        <f t="shared" si="181"/>
        <v>-3897</v>
      </c>
      <c r="N59" s="325">
        <f t="shared" si="181"/>
        <v>-3897</v>
      </c>
      <c r="O59" s="325">
        <f t="shared" ref="O59:BJ59" si="182">SUM(O55:O58)</f>
        <v>-3897</v>
      </c>
      <c r="P59" s="325">
        <f t="shared" si="182"/>
        <v>-3897</v>
      </c>
      <c r="Q59" s="325">
        <f t="shared" si="182"/>
        <v>-3897</v>
      </c>
      <c r="R59" s="325">
        <f t="shared" si="182"/>
        <v>-3897</v>
      </c>
      <c r="S59" s="325">
        <f t="shared" si="182"/>
        <v>-3897</v>
      </c>
      <c r="T59" s="325">
        <f t="shared" si="182"/>
        <v>-3897</v>
      </c>
      <c r="U59" s="325">
        <f t="shared" si="182"/>
        <v>-3897</v>
      </c>
      <c r="V59" s="325">
        <f t="shared" si="182"/>
        <v>-3897</v>
      </c>
      <c r="W59" s="325">
        <f t="shared" si="182"/>
        <v>-3897</v>
      </c>
      <c r="X59" s="325">
        <f t="shared" si="182"/>
        <v>-3897</v>
      </c>
      <c r="Y59" s="325">
        <f t="shared" si="182"/>
        <v>-3897</v>
      </c>
      <c r="Z59" s="325">
        <f t="shared" si="182"/>
        <v>-3897</v>
      </c>
      <c r="AA59" s="325">
        <f t="shared" si="182"/>
        <v>-3897</v>
      </c>
      <c r="AB59" s="325">
        <f t="shared" si="182"/>
        <v>-3897</v>
      </c>
      <c r="AC59" s="325">
        <f t="shared" si="182"/>
        <v>-3897</v>
      </c>
      <c r="AD59" s="325">
        <f t="shared" si="182"/>
        <v>-3897</v>
      </c>
      <c r="AE59" s="325">
        <f t="shared" si="182"/>
        <v>-3897</v>
      </c>
      <c r="AF59" s="325">
        <f t="shared" si="182"/>
        <v>-3897</v>
      </c>
      <c r="AG59" s="325">
        <f t="shared" si="182"/>
        <v>-3897</v>
      </c>
      <c r="AH59" s="325">
        <f t="shared" si="182"/>
        <v>-3897</v>
      </c>
      <c r="AI59" s="325">
        <f t="shared" si="182"/>
        <v>-3897</v>
      </c>
      <c r="AJ59" s="325">
        <f t="shared" si="182"/>
        <v>-3897</v>
      </c>
      <c r="AK59" s="325">
        <f t="shared" si="182"/>
        <v>-3897</v>
      </c>
      <c r="AL59" s="325">
        <f t="shared" si="182"/>
        <v>-3897</v>
      </c>
      <c r="AM59" s="325">
        <f t="shared" si="182"/>
        <v>-3897</v>
      </c>
      <c r="AN59" s="325">
        <f t="shared" si="182"/>
        <v>-3897</v>
      </c>
      <c r="AO59" s="325">
        <f t="shared" si="182"/>
        <v>-3897</v>
      </c>
      <c r="AP59" s="325">
        <f t="shared" si="182"/>
        <v>-3897</v>
      </c>
      <c r="AQ59" s="325">
        <f t="shared" si="182"/>
        <v>-3897</v>
      </c>
      <c r="AR59" s="325">
        <f t="shared" si="182"/>
        <v>-3897</v>
      </c>
      <c r="AS59" s="325">
        <f t="shared" si="182"/>
        <v>-3897</v>
      </c>
      <c r="AT59" s="325">
        <f t="shared" si="182"/>
        <v>-3897</v>
      </c>
      <c r="AU59" s="325">
        <f t="shared" si="182"/>
        <v>-3897</v>
      </c>
      <c r="AV59" s="325">
        <f t="shared" si="182"/>
        <v>-3897</v>
      </c>
      <c r="AW59" s="325">
        <f t="shared" si="182"/>
        <v>-3897</v>
      </c>
      <c r="AX59" s="325">
        <f t="shared" si="182"/>
        <v>-3897</v>
      </c>
      <c r="AY59" s="325">
        <f t="shared" si="182"/>
        <v>-1948.5</v>
      </c>
      <c r="AZ59" s="325">
        <f t="shared" si="182"/>
        <v>-1948.5</v>
      </c>
      <c r="BA59" s="325">
        <f t="shared" si="182"/>
        <v>-1948.5</v>
      </c>
      <c r="BB59" s="325">
        <f t="shared" si="182"/>
        <v>-1948.5</v>
      </c>
      <c r="BC59" s="325">
        <f t="shared" si="182"/>
        <v>-1948.5</v>
      </c>
      <c r="BD59" s="325">
        <f t="shared" si="182"/>
        <v>-1948.5</v>
      </c>
      <c r="BE59" s="325">
        <f t="shared" si="182"/>
        <v>-1948.5</v>
      </c>
      <c r="BF59" s="325">
        <f t="shared" si="182"/>
        <v>-1948.5</v>
      </c>
      <c r="BG59" s="325">
        <f t="shared" si="182"/>
        <v>-1948.5</v>
      </c>
      <c r="BH59" s="325">
        <f t="shared" si="182"/>
        <v>-1948.5</v>
      </c>
      <c r="BI59" s="325">
        <f t="shared" si="182"/>
        <v>-1948.5</v>
      </c>
      <c r="BJ59" s="325">
        <f t="shared" si="182"/>
        <v>-1948.5</v>
      </c>
      <c r="BK59" s="325">
        <f t="shared" si="2"/>
        <v>0</v>
      </c>
      <c r="BL59" s="325">
        <f t="shared" si="3"/>
        <v>-3897</v>
      </c>
      <c r="BM59" s="325">
        <f t="shared" si="4"/>
        <v>-3897</v>
      </c>
      <c r="BN59" s="325">
        <f t="shared" si="5"/>
        <v>-3897</v>
      </c>
      <c r="BO59" s="325">
        <f t="shared" si="6"/>
        <v>-3897</v>
      </c>
      <c r="BP59" s="325">
        <f t="shared" si="7"/>
        <v>-1948.5</v>
      </c>
    </row>
    <row r="60" spans="1:68" ht="15.75">
      <c r="A60" s="326"/>
      <c r="BK60">
        <f t="shared" si="2"/>
        <v>0</v>
      </c>
      <c r="BL60">
        <f t="shared" si="3"/>
        <v>0</v>
      </c>
      <c r="BM60">
        <f t="shared" si="4"/>
        <v>0</v>
      </c>
      <c r="BN60">
        <f t="shared" si="5"/>
        <v>0</v>
      </c>
      <c r="BO60">
        <f t="shared" si="6"/>
        <v>0</v>
      </c>
      <c r="BP60">
        <f t="shared" si="7"/>
        <v>0</v>
      </c>
    </row>
    <row r="61" spans="1:68">
      <c r="A61" s="324" t="s">
        <v>440</v>
      </c>
      <c r="B61" s="51"/>
      <c r="C61" s="325">
        <f t="shared" ref="C61:N61" si="183">C59+C52</f>
        <v>-62408.466928518494</v>
      </c>
      <c r="D61" s="325">
        <f t="shared" si="183"/>
        <v>-30017.747626573764</v>
      </c>
      <c r="E61" s="325">
        <f t="shared" si="183"/>
        <v>-8193.9566606213994</v>
      </c>
      <c r="F61" s="325">
        <f t="shared" si="183"/>
        <v>-7803.5936723413497</v>
      </c>
      <c r="G61" s="325">
        <f t="shared" si="183"/>
        <v>-7413.1583016219729</v>
      </c>
      <c r="H61" s="325">
        <f t="shared" si="183"/>
        <v>-7022.6501865510763</v>
      </c>
      <c r="I61" s="325">
        <f t="shared" si="183"/>
        <v>-7518.3983613526107</v>
      </c>
      <c r="J61" s="325">
        <f t="shared" si="183"/>
        <v>-7179.3598546700232</v>
      </c>
      <c r="K61" s="325">
        <f t="shared" si="183"/>
        <v>-6840.2475070057362</v>
      </c>
      <c r="L61" s="325">
        <f t="shared" si="183"/>
        <v>-6501.0609491548157</v>
      </c>
      <c r="M61" s="325">
        <f t="shared" si="183"/>
        <v>-6161.7998100663481</v>
      </c>
      <c r="N61" s="325">
        <f t="shared" si="183"/>
        <v>-5822.4637168341415</v>
      </c>
      <c r="O61" s="325">
        <f t="shared" ref="O61:BJ61" si="184">O59+O52</f>
        <v>-5483.0522946874671</v>
      </c>
      <c r="P61" s="325">
        <f t="shared" si="184"/>
        <v>-5143.5651669817616</v>
      </c>
      <c r="Q61" s="325">
        <f t="shared" si="184"/>
        <v>-4804.0019551892292</v>
      </c>
      <c r="R61" s="325">
        <f t="shared" si="184"/>
        <v>-4464.3622788894309</v>
      </c>
      <c r="S61" s="325">
        <f t="shared" si="184"/>
        <v>-4124.6457557598414</v>
      </c>
      <c r="T61" s="325">
        <f t="shared" si="184"/>
        <v>-3801.6742013313524</v>
      </c>
      <c r="U61" s="325">
        <f t="shared" si="184"/>
        <v>-3512.7835356304654</v>
      </c>
      <c r="V61" s="325">
        <f t="shared" si="184"/>
        <v>-3223.8265654200159</v>
      </c>
      <c r="W61" s="325">
        <f t="shared" si="184"/>
        <v>-2934.8029591774593</v>
      </c>
      <c r="X61" s="325">
        <f t="shared" si="184"/>
        <v>-2645.7123837226354</v>
      </c>
      <c r="Y61" s="325">
        <f t="shared" si="184"/>
        <v>-2356.5545042094918</v>
      </c>
      <c r="Z61" s="325">
        <f t="shared" si="184"/>
        <v>-2067.3289841177216</v>
      </c>
      <c r="AA61" s="325">
        <f t="shared" si="184"/>
        <v>-1778.0354852444411</v>
      </c>
      <c r="AB61" s="325">
        <f t="shared" si="184"/>
        <v>-1488.6736676957266</v>
      </c>
      <c r="AC61" s="325">
        <f t="shared" si="184"/>
        <v>-1199.2431898782229</v>
      </c>
      <c r="AD61" s="325">
        <f t="shared" si="184"/>
        <v>-909.74370849058687</v>
      </c>
      <c r="AE61" s="325">
        <f t="shared" si="184"/>
        <v>-620.17487851492933</v>
      </c>
      <c r="AF61" s="325">
        <f t="shared" si="184"/>
        <v>-330.53635320836065</v>
      </c>
      <c r="AG61" s="325">
        <f t="shared" si="184"/>
        <v>-40.827784094207345</v>
      </c>
      <c r="AH61" s="325">
        <f t="shared" si="184"/>
        <v>248.95117904658309</v>
      </c>
      <c r="AI61" s="325">
        <f t="shared" si="184"/>
        <v>538.80088818412969</v>
      </c>
      <c r="AJ61" s="325">
        <f t="shared" si="184"/>
        <v>828.7216970484069</v>
      </c>
      <c r="AK61" s="325">
        <f t="shared" si="184"/>
        <v>1118.7139611380662</v>
      </c>
      <c r="AL61" s="325">
        <f t="shared" si="184"/>
        <v>1408.7780377292411</v>
      </c>
      <c r="AM61" s="325">
        <f t="shared" si="184"/>
        <v>1698.9142858844143</v>
      </c>
      <c r="AN61" s="325">
        <f t="shared" si="184"/>
        <v>1989.1230664614232</v>
      </c>
      <c r="AO61" s="325">
        <f t="shared" si="184"/>
        <v>2279.4047421223759</v>
      </c>
      <c r="AP61" s="325">
        <f t="shared" si="184"/>
        <v>2569.7596773426758</v>
      </c>
      <c r="AQ61" s="325">
        <f t="shared" si="184"/>
        <v>2860.1882384201381</v>
      </c>
      <c r="AR61" s="325">
        <f t="shared" si="184"/>
        <v>3150.6907934840492</v>
      </c>
      <c r="AS61" s="325">
        <f t="shared" si="184"/>
        <v>3441.2677125043338</v>
      </c>
      <c r="AT61" s="325">
        <f t="shared" si="184"/>
        <v>3731.9193673007612</v>
      </c>
      <c r="AU61" s="325">
        <f t="shared" si="184"/>
        <v>4022.6461315522401</v>
      </c>
      <c r="AV61" s="325">
        <f t="shared" si="184"/>
        <v>4313.4483808060177</v>
      </c>
      <c r="AW61" s="325">
        <f t="shared" si="184"/>
        <v>4604.3264924871219</v>
      </c>
      <c r="AX61" s="325">
        <f t="shared" si="184"/>
        <v>4895.2808459076987</v>
      </c>
      <c r="AY61" s="325">
        <f t="shared" si="184"/>
        <v>6996.996940381905</v>
      </c>
      <c r="AZ61" s="325">
        <f t="shared" si="184"/>
        <v>7150.2900409190042</v>
      </c>
      <c r="BA61" s="325">
        <f t="shared" si="184"/>
        <v>7303.660532549311</v>
      </c>
      <c r="BB61" s="325">
        <f t="shared" si="184"/>
        <v>7457.1088022283147</v>
      </c>
      <c r="BC61" s="325">
        <f t="shared" si="184"/>
        <v>7610.6352388462219</v>
      </c>
      <c r="BD61" s="325">
        <f t="shared" si="184"/>
        <v>7764.2402332377569</v>
      </c>
      <c r="BE61" s="325">
        <f t="shared" si="184"/>
        <v>7917.9241781917699</v>
      </c>
      <c r="BF61" s="325">
        <f t="shared" si="184"/>
        <v>8071.6874684611066</v>
      </c>
      <c r="BG61" s="325">
        <f t="shared" si="184"/>
        <v>8225.5305007722927</v>
      </c>
      <c r="BH61" s="325">
        <f t="shared" si="184"/>
        <v>8379.4536738355473</v>
      </c>
      <c r="BI61" s="325">
        <f t="shared" si="184"/>
        <v>8533.4573883546764</v>
      </c>
      <c r="BJ61" s="325">
        <f t="shared" si="184"/>
        <v>8687.5420470369263</v>
      </c>
      <c r="BK61" s="325">
        <f t="shared" si="2"/>
        <v>0</v>
      </c>
      <c r="BL61" s="464">
        <f>SUM(C61:N61)</f>
        <v>-162882.90357531171</v>
      </c>
      <c r="BM61" s="464">
        <f>SUM(O61:Z61)</f>
        <v>-44562.310585116873</v>
      </c>
      <c r="BN61" s="464">
        <f>SUM(AA61:AL61)</f>
        <v>-2223.2693039800479</v>
      </c>
      <c r="BO61" s="464">
        <f>SUM(AM61:AX61)</f>
        <v>39556.969734273247</v>
      </c>
      <c r="BP61" s="464">
        <f>SUM(AY61:BJ61)</f>
        <v>94098.527044814837</v>
      </c>
    </row>
    <row r="62" spans="1:68" ht="15.75">
      <c r="A62" s="321"/>
    </row>
    <row r="63" spans="1:68">
      <c r="A63" s="322" t="s">
        <v>441</v>
      </c>
      <c r="BK63">
        <f t="shared" si="2"/>
        <v>0</v>
      </c>
      <c r="BL63">
        <f t="shared" si="3"/>
        <v>0</v>
      </c>
      <c r="BM63">
        <f t="shared" si="4"/>
        <v>0</v>
      </c>
      <c r="BN63">
        <f t="shared" si="5"/>
        <v>0</v>
      </c>
      <c r="BO63">
        <f t="shared" si="6"/>
        <v>0</v>
      </c>
      <c r="BP63">
        <f t="shared" si="7"/>
        <v>0</v>
      </c>
    </row>
    <row r="64" spans="1:68" ht="15.75">
      <c r="A64" s="326" t="s">
        <v>442</v>
      </c>
      <c r="C64" s="288">
        <f t="shared" ref="C64:N64" si="185">C15-B15</f>
        <v>0</v>
      </c>
      <c r="D64" s="288">
        <f t="shared" si="185"/>
        <v>0</v>
      </c>
      <c r="E64" s="288">
        <f t="shared" si="185"/>
        <v>0</v>
      </c>
      <c r="F64" s="288">
        <f t="shared" si="185"/>
        <v>0</v>
      </c>
      <c r="G64" s="288">
        <f t="shared" si="185"/>
        <v>0</v>
      </c>
      <c r="H64" s="288">
        <f t="shared" si="185"/>
        <v>0</v>
      </c>
      <c r="I64" s="288">
        <f t="shared" si="185"/>
        <v>0</v>
      </c>
      <c r="J64" s="288">
        <f t="shared" si="185"/>
        <v>0</v>
      </c>
      <c r="K64" s="288">
        <f t="shared" si="185"/>
        <v>0</v>
      </c>
      <c r="L64" s="288">
        <f t="shared" si="185"/>
        <v>0</v>
      </c>
      <c r="M64" s="288">
        <f t="shared" si="185"/>
        <v>0</v>
      </c>
      <c r="N64" s="288">
        <f t="shared" si="185"/>
        <v>0</v>
      </c>
      <c r="O64" s="288">
        <f t="shared" ref="O64:BJ64" si="186">O15-N15</f>
        <v>0</v>
      </c>
      <c r="P64" s="288">
        <f t="shared" si="186"/>
        <v>0</v>
      </c>
      <c r="Q64" s="288">
        <f t="shared" si="186"/>
        <v>0</v>
      </c>
      <c r="R64" s="288">
        <f t="shared" si="186"/>
        <v>0</v>
      </c>
      <c r="S64" s="288">
        <f t="shared" si="186"/>
        <v>0</v>
      </c>
      <c r="T64" s="288">
        <f t="shared" si="186"/>
        <v>0</v>
      </c>
      <c r="U64" s="288">
        <f t="shared" si="186"/>
        <v>0</v>
      </c>
      <c r="V64" s="288">
        <f t="shared" si="186"/>
        <v>0</v>
      </c>
      <c r="W64" s="288">
        <f t="shared" si="186"/>
        <v>0</v>
      </c>
      <c r="X64" s="288">
        <f t="shared" si="186"/>
        <v>0</v>
      </c>
      <c r="Y64" s="288">
        <f t="shared" si="186"/>
        <v>0</v>
      </c>
      <c r="Z64" s="288">
        <f t="shared" si="186"/>
        <v>0</v>
      </c>
      <c r="AA64" s="288">
        <f t="shared" si="186"/>
        <v>0</v>
      </c>
      <c r="AB64" s="288">
        <f t="shared" si="186"/>
        <v>0</v>
      </c>
      <c r="AC64" s="288">
        <f t="shared" si="186"/>
        <v>0</v>
      </c>
      <c r="AD64" s="288">
        <f t="shared" si="186"/>
        <v>0</v>
      </c>
      <c r="AE64" s="288">
        <f t="shared" si="186"/>
        <v>0</v>
      </c>
      <c r="AF64" s="288">
        <f t="shared" si="186"/>
        <v>0</v>
      </c>
      <c r="AG64" s="288">
        <f t="shared" si="186"/>
        <v>0</v>
      </c>
      <c r="AH64" s="288">
        <f t="shared" si="186"/>
        <v>0</v>
      </c>
      <c r="AI64" s="288">
        <f t="shared" si="186"/>
        <v>0</v>
      </c>
      <c r="AJ64" s="288">
        <f t="shared" si="186"/>
        <v>0</v>
      </c>
      <c r="AK64" s="288">
        <f t="shared" si="186"/>
        <v>0</v>
      </c>
      <c r="AL64" s="288">
        <f t="shared" si="186"/>
        <v>0</v>
      </c>
      <c r="AM64" s="288">
        <f t="shared" si="186"/>
        <v>0</v>
      </c>
      <c r="AN64" s="288">
        <f t="shared" si="186"/>
        <v>0</v>
      </c>
      <c r="AO64" s="288">
        <f t="shared" si="186"/>
        <v>0</v>
      </c>
      <c r="AP64" s="288">
        <f t="shared" si="186"/>
        <v>0</v>
      </c>
      <c r="AQ64" s="288">
        <f t="shared" si="186"/>
        <v>0</v>
      </c>
      <c r="AR64" s="288">
        <f t="shared" si="186"/>
        <v>0</v>
      </c>
      <c r="AS64" s="288">
        <f t="shared" si="186"/>
        <v>0</v>
      </c>
      <c r="AT64" s="288">
        <f t="shared" si="186"/>
        <v>0</v>
      </c>
      <c r="AU64" s="288">
        <f t="shared" si="186"/>
        <v>0</v>
      </c>
      <c r="AV64" s="288">
        <f t="shared" si="186"/>
        <v>0</v>
      </c>
      <c r="AW64" s="288">
        <f t="shared" si="186"/>
        <v>0</v>
      </c>
      <c r="AX64" s="288">
        <f t="shared" si="186"/>
        <v>0</v>
      </c>
      <c r="AY64" s="288">
        <f t="shared" si="186"/>
        <v>0</v>
      </c>
      <c r="AZ64" s="288">
        <f t="shared" si="186"/>
        <v>0</v>
      </c>
      <c r="BA64" s="288">
        <f t="shared" si="186"/>
        <v>0</v>
      </c>
      <c r="BB64" s="288">
        <f t="shared" si="186"/>
        <v>0</v>
      </c>
      <c r="BC64" s="288">
        <f t="shared" si="186"/>
        <v>0</v>
      </c>
      <c r="BD64" s="288">
        <f t="shared" si="186"/>
        <v>0</v>
      </c>
      <c r="BE64" s="288">
        <f t="shared" si="186"/>
        <v>0</v>
      </c>
      <c r="BF64" s="288">
        <f t="shared" si="186"/>
        <v>0</v>
      </c>
      <c r="BG64" s="288">
        <f t="shared" si="186"/>
        <v>0</v>
      </c>
      <c r="BH64" s="288">
        <f t="shared" si="186"/>
        <v>0</v>
      </c>
      <c r="BI64" s="288">
        <f t="shared" si="186"/>
        <v>0</v>
      </c>
      <c r="BJ64" s="288">
        <f t="shared" si="186"/>
        <v>0</v>
      </c>
      <c r="BK64" s="288">
        <f t="shared" si="2"/>
        <v>0</v>
      </c>
      <c r="BL64" s="288">
        <f t="shared" si="3"/>
        <v>0</v>
      </c>
      <c r="BM64" s="288">
        <f t="shared" si="4"/>
        <v>0</v>
      </c>
      <c r="BN64" s="288">
        <f t="shared" si="5"/>
        <v>0</v>
      </c>
      <c r="BO64" s="288">
        <f t="shared" si="6"/>
        <v>0</v>
      </c>
      <c r="BP64" s="288">
        <f t="shared" si="7"/>
        <v>0</v>
      </c>
    </row>
    <row r="65" spans="1:68">
      <c r="A65" s="324" t="s">
        <v>443</v>
      </c>
      <c r="B65" s="51"/>
      <c r="C65" s="327">
        <f>SUM(C64)</f>
        <v>0</v>
      </c>
      <c r="D65" s="327">
        <f t="shared" ref="D65:N65" si="187">SUM(D64)</f>
        <v>0</v>
      </c>
      <c r="E65" s="327">
        <f t="shared" si="187"/>
        <v>0</v>
      </c>
      <c r="F65" s="327">
        <f t="shared" si="187"/>
        <v>0</v>
      </c>
      <c r="G65" s="327">
        <f t="shared" si="187"/>
        <v>0</v>
      </c>
      <c r="H65" s="327">
        <f t="shared" si="187"/>
        <v>0</v>
      </c>
      <c r="I65" s="327">
        <f t="shared" si="187"/>
        <v>0</v>
      </c>
      <c r="J65" s="327">
        <f t="shared" si="187"/>
        <v>0</v>
      </c>
      <c r="K65" s="327">
        <f t="shared" si="187"/>
        <v>0</v>
      </c>
      <c r="L65" s="327">
        <f t="shared" si="187"/>
        <v>0</v>
      </c>
      <c r="M65" s="327">
        <f t="shared" si="187"/>
        <v>0</v>
      </c>
      <c r="N65" s="327">
        <f t="shared" si="187"/>
        <v>0</v>
      </c>
      <c r="O65" s="327">
        <f t="shared" ref="O65" si="188">SUM(O64)</f>
        <v>0</v>
      </c>
      <c r="P65" s="327">
        <f t="shared" ref="P65" si="189">SUM(P64)</f>
        <v>0</v>
      </c>
      <c r="Q65" s="327">
        <f t="shared" ref="Q65" si="190">SUM(Q64)</f>
        <v>0</v>
      </c>
      <c r="R65" s="327">
        <f t="shared" ref="R65" si="191">SUM(R64)</f>
        <v>0</v>
      </c>
      <c r="S65" s="327">
        <f t="shared" ref="S65" si="192">SUM(S64)</f>
        <v>0</v>
      </c>
      <c r="T65" s="327">
        <f t="shared" ref="T65" si="193">SUM(T64)</f>
        <v>0</v>
      </c>
      <c r="U65" s="327">
        <f t="shared" ref="U65" si="194">SUM(U64)</f>
        <v>0</v>
      </c>
      <c r="V65" s="327">
        <f t="shared" ref="V65" si="195">SUM(V64)</f>
        <v>0</v>
      </c>
      <c r="W65" s="327">
        <f t="shared" ref="W65" si="196">SUM(W64)</f>
        <v>0</v>
      </c>
      <c r="X65" s="327">
        <f t="shared" ref="X65" si="197">SUM(X64)</f>
        <v>0</v>
      </c>
      <c r="Y65" s="327">
        <f t="shared" ref="Y65" si="198">SUM(Y64)</f>
        <v>0</v>
      </c>
      <c r="Z65" s="327">
        <f t="shared" ref="Z65" si="199">SUM(Z64)</f>
        <v>0</v>
      </c>
      <c r="AA65" s="327">
        <f t="shared" ref="AA65" si="200">SUM(AA64)</f>
        <v>0</v>
      </c>
      <c r="AB65" s="327">
        <f t="shared" ref="AB65" si="201">SUM(AB64)</f>
        <v>0</v>
      </c>
      <c r="AC65" s="327">
        <f t="shared" ref="AC65" si="202">SUM(AC64)</f>
        <v>0</v>
      </c>
      <c r="AD65" s="327">
        <f t="shared" ref="AD65" si="203">SUM(AD64)</f>
        <v>0</v>
      </c>
      <c r="AE65" s="327">
        <f t="shared" ref="AE65" si="204">SUM(AE64)</f>
        <v>0</v>
      </c>
      <c r="AF65" s="327">
        <f t="shared" ref="AF65" si="205">SUM(AF64)</f>
        <v>0</v>
      </c>
      <c r="AG65" s="327">
        <f t="shared" ref="AG65" si="206">SUM(AG64)</f>
        <v>0</v>
      </c>
      <c r="AH65" s="327">
        <f t="shared" ref="AH65" si="207">SUM(AH64)</f>
        <v>0</v>
      </c>
      <c r="AI65" s="327">
        <f t="shared" ref="AI65" si="208">SUM(AI64)</f>
        <v>0</v>
      </c>
      <c r="AJ65" s="327">
        <f t="shared" ref="AJ65" si="209">SUM(AJ64)</f>
        <v>0</v>
      </c>
      <c r="AK65" s="327">
        <f t="shared" ref="AK65" si="210">SUM(AK64)</f>
        <v>0</v>
      </c>
      <c r="AL65" s="327">
        <f t="shared" ref="AL65" si="211">SUM(AL64)</f>
        <v>0</v>
      </c>
      <c r="AM65" s="327">
        <f t="shared" ref="AM65" si="212">SUM(AM64)</f>
        <v>0</v>
      </c>
      <c r="AN65" s="327">
        <f t="shared" ref="AN65" si="213">SUM(AN64)</f>
        <v>0</v>
      </c>
      <c r="AO65" s="327">
        <f t="shared" ref="AO65" si="214">SUM(AO64)</f>
        <v>0</v>
      </c>
      <c r="AP65" s="327">
        <f t="shared" ref="AP65" si="215">SUM(AP64)</f>
        <v>0</v>
      </c>
      <c r="AQ65" s="327">
        <f t="shared" ref="AQ65" si="216">SUM(AQ64)</f>
        <v>0</v>
      </c>
      <c r="AR65" s="327">
        <f t="shared" ref="AR65" si="217">SUM(AR64)</f>
        <v>0</v>
      </c>
      <c r="AS65" s="327">
        <f t="shared" ref="AS65" si="218">SUM(AS64)</f>
        <v>0</v>
      </c>
      <c r="AT65" s="327">
        <f t="shared" ref="AT65" si="219">SUM(AT64)</f>
        <v>0</v>
      </c>
      <c r="AU65" s="327">
        <f t="shared" ref="AU65" si="220">SUM(AU64)</f>
        <v>0</v>
      </c>
      <c r="AV65" s="327">
        <f t="shared" ref="AV65" si="221">SUM(AV64)</f>
        <v>0</v>
      </c>
      <c r="AW65" s="327">
        <f t="shared" ref="AW65" si="222">SUM(AW64)</f>
        <v>0</v>
      </c>
      <c r="AX65" s="327">
        <f t="shared" ref="AX65" si="223">SUM(AX64)</f>
        <v>0</v>
      </c>
      <c r="AY65" s="327">
        <f t="shared" ref="AY65" si="224">SUM(AY64)</f>
        <v>0</v>
      </c>
      <c r="AZ65" s="327">
        <f t="shared" ref="AZ65" si="225">SUM(AZ64)</f>
        <v>0</v>
      </c>
      <c r="BA65" s="327">
        <f t="shared" ref="BA65" si="226">SUM(BA64)</f>
        <v>0</v>
      </c>
      <c r="BB65" s="327">
        <f t="shared" ref="BB65" si="227">SUM(BB64)</f>
        <v>0</v>
      </c>
      <c r="BC65" s="327">
        <f t="shared" ref="BC65" si="228">SUM(BC64)</f>
        <v>0</v>
      </c>
      <c r="BD65" s="327">
        <f t="shared" ref="BD65" si="229">SUM(BD64)</f>
        <v>0</v>
      </c>
      <c r="BE65" s="327">
        <f t="shared" ref="BE65" si="230">SUM(BE64)</f>
        <v>0</v>
      </c>
      <c r="BF65" s="327">
        <f t="shared" ref="BF65" si="231">SUM(BF64)</f>
        <v>0</v>
      </c>
      <c r="BG65" s="327">
        <f t="shared" ref="BG65" si="232">SUM(BG64)</f>
        <v>0</v>
      </c>
      <c r="BH65" s="327">
        <f t="shared" ref="BH65" si="233">SUM(BH64)</f>
        <v>0</v>
      </c>
      <c r="BI65" s="327">
        <f t="shared" ref="BI65" si="234">SUM(BI64)</f>
        <v>0</v>
      </c>
      <c r="BJ65" s="327">
        <f t="shared" ref="BJ65" si="235">SUM(BJ64)</f>
        <v>0</v>
      </c>
      <c r="BK65" s="327">
        <f t="shared" si="2"/>
        <v>0</v>
      </c>
      <c r="BL65" s="464">
        <f>SUM(C65:N65)</f>
        <v>0</v>
      </c>
      <c r="BM65" s="464">
        <f>SUM(O65:Z65)</f>
        <v>0</v>
      </c>
      <c r="BN65" s="464">
        <f>SUM(AA65:AL65)</f>
        <v>0</v>
      </c>
      <c r="BO65" s="464">
        <f>SUM(AM65:AX65)</f>
        <v>0</v>
      </c>
      <c r="BP65" s="464">
        <f>SUM(AY65:BJ65)</f>
        <v>0</v>
      </c>
    </row>
    <row r="66" spans="1:68" ht="15.75">
      <c r="A66" s="326"/>
      <c r="BK66">
        <f t="shared" si="2"/>
        <v>0</v>
      </c>
      <c r="BL66">
        <f t="shared" si="3"/>
        <v>0</v>
      </c>
      <c r="BM66">
        <f t="shared" si="4"/>
        <v>0</v>
      </c>
      <c r="BN66">
        <f t="shared" si="5"/>
        <v>0</v>
      </c>
      <c r="BO66">
        <f t="shared" si="6"/>
        <v>0</v>
      </c>
      <c r="BP66">
        <f t="shared" si="7"/>
        <v>0</v>
      </c>
    </row>
    <row r="67" spans="1:68">
      <c r="A67" s="324" t="s">
        <v>444</v>
      </c>
      <c r="B67" s="51"/>
      <c r="C67" s="325">
        <f>C61+C65</f>
        <v>-62408.466928518494</v>
      </c>
      <c r="D67" s="325">
        <f t="shared" ref="D67:N67" si="236">D61+D65</f>
        <v>-30017.747626573764</v>
      </c>
      <c r="E67" s="325">
        <f t="shared" si="236"/>
        <v>-8193.9566606213994</v>
      </c>
      <c r="F67" s="325">
        <f t="shared" si="236"/>
        <v>-7803.5936723413497</v>
      </c>
      <c r="G67" s="325">
        <f t="shared" si="236"/>
        <v>-7413.1583016219729</v>
      </c>
      <c r="H67" s="325">
        <f t="shared" si="236"/>
        <v>-7022.6501865510763</v>
      </c>
      <c r="I67" s="325">
        <f t="shared" si="236"/>
        <v>-7518.3983613526107</v>
      </c>
      <c r="J67" s="325">
        <f t="shared" si="236"/>
        <v>-7179.3598546700232</v>
      </c>
      <c r="K67" s="325">
        <f t="shared" si="236"/>
        <v>-6840.2475070057362</v>
      </c>
      <c r="L67" s="325">
        <f t="shared" si="236"/>
        <v>-6501.0609491548157</v>
      </c>
      <c r="M67" s="325">
        <f t="shared" si="236"/>
        <v>-6161.7998100663481</v>
      </c>
      <c r="N67" s="325">
        <f t="shared" si="236"/>
        <v>-5822.4637168341415</v>
      </c>
      <c r="O67" s="325">
        <f t="shared" ref="O67:BJ67" si="237">O61+O65</f>
        <v>-5483.0522946874671</v>
      </c>
      <c r="P67" s="325">
        <f t="shared" si="237"/>
        <v>-5143.5651669817616</v>
      </c>
      <c r="Q67" s="325">
        <f t="shared" si="237"/>
        <v>-4804.0019551892292</v>
      </c>
      <c r="R67" s="325">
        <f t="shared" si="237"/>
        <v>-4464.3622788894309</v>
      </c>
      <c r="S67" s="325">
        <f t="shared" si="237"/>
        <v>-4124.6457557598414</v>
      </c>
      <c r="T67" s="325">
        <f t="shared" si="237"/>
        <v>-3801.6742013313524</v>
      </c>
      <c r="U67" s="325">
        <f t="shared" si="237"/>
        <v>-3512.7835356304654</v>
      </c>
      <c r="V67" s="325">
        <f t="shared" si="237"/>
        <v>-3223.8265654200159</v>
      </c>
      <c r="W67" s="325">
        <f t="shared" si="237"/>
        <v>-2934.8029591774593</v>
      </c>
      <c r="X67" s="325">
        <f t="shared" si="237"/>
        <v>-2645.7123837226354</v>
      </c>
      <c r="Y67" s="325">
        <f t="shared" si="237"/>
        <v>-2356.5545042094918</v>
      </c>
      <c r="Z67" s="325">
        <f t="shared" si="237"/>
        <v>-2067.3289841177216</v>
      </c>
      <c r="AA67" s="325">
        <f t="shared" si="237"/>
        <v>-1778.0354852444411</v>
      </c>
      <c r="AB67" s="325">
        <f t="shared" si="237"/>
        <v>-1488.6736676957266</v>
      </c>
      <c r="AC67" s="325">
        <f t="shared" si="237"/>
        <v>-1199.2431898782229</v>
      </c>
      <c r="AD67" s="325">
        <f t="shared" si="237"/>
        <v>-909.74370849058687</v>
      </c>
      <c r="AE67" s="325">
        <f t="shared" si="237"/>
        <v>-620.17487851492933</v>
      </c>
      <c r="AF67" s="325">
        <f t="shared" si="237"/>
        <v>-330.53635320836065</v>
      </c>
      <c r="AG67" s="325">
        <f t="shared" si="237"/>
        <v>-40.827784094207345</v>
      </c>
      <c r="AH67" s="325">
        <f t="shared" si="237"/>
        <v>248.95117904658309</v>
      </c>
      <c r="AI67" s="325">
        <f t="shared" si="237"/>
        <v>538.80088818412969</v>
      </c>
      <c r="AJ67" s="325">
        <f t="shared" si="237"/>
        <v>828.7216970484069</v>
      </c>
      <c r="AK67" s="325">
        <f t="shared" si="237"/>
        <v>1118.7139611380662</v>
      </c>
      <c r="AL67" s="325">
        <f t="shared" si="237"/>
        <v>1408.7780377292411</v>
      </c>
      <c r="AM67" s="325">
        <f t="shared" si="237"/>
        <v>1698.9142858844143</v>
      </c>
      <c r="AN67" s="325">
        <f t="shared" si="237"/>
        <v>1989.1230664614232</v>
      </c>
      <c r="AO67" s="325">
        <f t="shared" si="237"/>
        <v>2279.4047421223759</v>
      </c>
      <c r="AP67" s="325">
        <f t="shared" si="237"/>
        <v>2569.7596773426758</v>
      </c>
      <c r="AQ67" s="325">
        <f t="shared" si="237"/>
        <v>2860.1882384201381</v>
      </c>
      <c r="AR67" s="325">
        <f t="shared" si="237"/>
        <v>3150.6907934840492</v>
      </c>
      <c r="AS67" s="325">
        <f t="shared" si="237"/>
        <v>3441.2677125043338</v>
      </c>
      <c r="AT67" s="325">
        <f t="shared" si="237"/>
        <v>3731.9193673007612</v>
      </c>
      <c r="AU67" s="325">
        <f t="shared" si="237"/>
        <v>4022.6461315522401</v>
      </c>
      <c r="AV67" s="325">
        <f t="shared" si="237"/>
        <v>4313.4483808060177</v>
      </c>
      <c r="AW67" s="325">
        <f t="shared" si="237"/>
        <v>4604.3264924871219</v>
      </c>
      <c r="AX67" s="325">
        <f t="shared" si="237"/>
        <v>4895.2808459076987</v>
      </c>
      <c r="AY67" s="325">
        <f t="shared" si="237"/>
        <v>6996.996940381905</v>
      </c>
      <c r="AZ67" s="325">
        <f t="shared" si="237"/>
        <v>7150.2900409190042</v>
      </c>
      <c r="BA67" s="325">
        <f t="shared" si="237"/>
        <v>7303.660532549311</v>
      </c>
      <c r="BB67" s="325">
        <f t="shared" si="237"/>
        <v>7457.1088022283147</v>
      </c>
      <c r="BC67" s="325">
        <f t="shared" si="237"/>
        <v>7610.6352388462219</v>
      </c>
      <c r="BD67" s="325">
        <f t="shared" si="237"/>
        <v>7764.2402332377569</v>
      </c>
      <c r="BE67" s="325">
        <f t="shared" si="237"/>
        <v>7917.9241781917699</v>
      </c>
      <c r="BF67" s="325">
        <f t="shared" si="237"/>
        <v>8071.6874684611066</v>
      </c>
      <c r="BG67" s="325">
        <f t="shared" si="237"/>
        <v>8225.5305007722927</v>
      </c>
      <c r="BH67" s="325">
        <f t="shared" si="237"/>
        <v>8379.4536738355473</v>
      </c>
      <c r="BI67" s="325">
        <f t="shared" si="237"/>
        <v>8533.4573883546764</v>
      </c>
      <c r="BJ67" s="325">
        <f t="shared" si="237"/>
        <v>8687.5420470369263</v>
      </c>
      <c r="BK67" s="325">
        <f t="shared" si="2"/>
        <v>0</v>
      </c>
      <c r="BL67" s="325">
        <f t="shared" si="3"/>
        <v>-5822.4637168341415</v>
      </c>
      <c r="BM67" s="325">
        <f t="shared" si="4"/>
        <v>-2067.3289841177216</v>
      </c>
      <c r="BN67" s="325">
        <f t="shared" si="5"/>
        <v>1408.7780377292411</v>
      </c>
      <c r="BO67" s="325">
        <f t="shared" si="6"/>
        <v>4895.2808459076987</v>
      </c>
      <c r="BP67" s="325">
        <f t="shared" si="7"/>
        <v>8687.5420470369263</v>
      </c>
    </row>
    <row r="68" spans="1:68" ht="15.75">
      <c r="A68" s="321"/>
    </row>
    <row r="69" spans="1:68" ht="15.75">
      <c r="A69" s="321" t="s">
        <v>445</v>
      </c>
      <c r="C69">
        <v>0</v>
      </c>
      <c r="D69">
        <v>0</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row>
    <row r="70" spans="1:68" ht="15.75">
      <c r="A70" s="326"/>
      <c r="BK70">
        <f t="shared" ref="BK70:BK83" si="238">B70</f>
        <v>0</v>
      </c>
      <c r="BL70">
        <f t="shared" ref="BL70:BL83" si="239">N70</f>
        <v>0</v>
      </c>
      <c r="BM70">
        <f t="shared" ref="BM70:BM83" si="240">Z70</f>
        <v>0</v>
      </c>
      <c r="BN70">
        <f t="shared" ref="BN70:BN83" si="241">AL70</f>
        <v>0</v>
      </c>
      <c r="BO70">
        <f t="shared" ref="BO70:BO83" si="242">AX70</f>
        <v>0</v>
      </c>
      <c r="BP70">
        <f t="shared" ref="BP70:BP83" si="243">BJ70</f>
        <v>0</v>
      </c>
    </row>
    <row r="71" spans="1:68">
      <c r="A71" s="324" t="s">
        <v>446</v>
      </c>
      <c r="B71" s="51"/>
      <c r="C71" s="325">
        <f>C67-C69</f>
        <v>-62408.466928518494</v>
      </c>
      <c r="D71" s="325">
        <f t="shared" ref="D71:N71" si="244">D67-D69</f>
        <v>-30017.747626573764</v>
      </c>
      <c r="E71" s="325">
        <f t="shared" si="244"/>
        <v>-8193.9566606213994</v>
      </c>
      <c r="F71" s="325">
        <f t="shared" si="244"/>
        <v>-7803.5936723413497</v>
      </c>
      <c r="G71" s="325">
        <f t="shared" si="244"/>
        <v>-7413.1583016219729</v>
      </c>
      <c r="H71" s="325">
        <f t="shared" si="244"/>
        <v>-7022.6501865510763</v>
      </c>
      <c r="I71" s="325">
        <f t="shared" si="244"/>
        <v>-7518.3983613526107</v>
      </c>
      <c r="J71" s="325">
        <f t="shared" si="244"/>
        <v>-7179.3598546700232</v>
      </c>
      <c r="K71" s="325">
        <f t="shared" si="244"/>
        <v>-6840.2475070057362</v>
      </c>
      <c r="L71" s="325">
        <f t="shared" si="244"/>
        <v>-6501.0609491548157</v>
      </c>
      <c r="M71" s="325">
        <f t="shared" si="244"/>
        <v>-6161.7998100663481</v>
      </c>
      <c r="N71" s="325">
        <f t="shared" si="244"/>
        <v>-5822.4637168341415</v>
      </c>
      <c r="O71" s="325">
        <f t="shared" ref="O71:BJ71" si="245">O67-O69</f>
        <v>-5483.0522946874671</v>
      </c>
      <c r="P71" s="325">
        <f t="shared" si="245"/>
        <v>-5143.5651669817616</v>
      </c>
      <c r="Q71" s="325">
        <f t="shared" si="245"/>
        <v>-4804.0019551892292</v>
      </c>
      <c r="R71" s="325">
        <f t="shared" si="245"/>
        <v>-4464.3622788894309</v>
      </c>
      <c r="S71" s="325">
        <f t="shared" si="245"/>
        <v>-4124.6457557598414</v>
      </c>
      <c r="T71" s="325">
        <f t="shared" si="245"/>
        <v>-3801.6742013313524</v>
      </c>
      <c r="U71" s="325">
        <f t="shared" si="245"/>
        <v>-3512.7835356304654</v>
      </c>
      <c r="V71" s="325">
        <f t="shared" si="245"/>
        <v>-3223.8265654200159</v>
      </c>
      <c r="W71" s="325">
        <f t="shared" si="245"/>
        <v>-2934.8029591774593</v>
      </c>
      <c r="X71" s="325">
        <f t="shared" si="245"/>
        <v>-2645.7123837226354</v>
      </c>
      <c r="Y71" s="325">
        <f t="shared" si="245"/>
        <v>-2356.5545042094918</v>
      </c>
      <c r="Z71" s="325">
        <f t="shared" si="245"/>
        <v>-2067.3289841177216</v>
      </c>
      <c r="AA71" s="325">
        <f t="shared" si="245"/>
        <v>-1778.0354852444411</v>
      </c>
      <c r="AB71" s="325">
        <f t="shared" si="245"/>
        <v>-1488.6736676957266</v>
      </c>
      <c r="AC71" s="325">
        <f t="shared" si="245"/>
        <v>-1199.2431898782229</v>
      </c>
      <c r="AD71" s="325">
        <f t="shared" si="245"/>
        <v>-909.74370849058687</v>
      </c>
      <c r="AE71" s="325">
        <f t="shared" si="245"/>
        <v>-620.17487851492933</v>
      </c>
      <c r="AF71" s="325">
        <f t="shared" si="245"/>
        <v>-330.53635320836065</v>
      </c>
      <c r="AG71" s="325">
        <f t="shared" si="245"/>
        <v>-40.827784094207345</v>
      </c>
      <c r="AH71" s="325">
        <f t="shared" si="245"/>
        <v>248.95117904658309</v>
      </c>
      <c r="AI71" s="325">
        <f t="shared" si="245"/>
        <v>538.80088818412969</v>
      </c>
      <c r="AJ71" s="325">
        <f t="shared" si="245"/>
        <v>828.7216970484069</v>
      </c>
      <c r="AK71" s="325">
        <f t="shared" si="245"/>
        <v>1118.7139611380662</v>
      </c>
      <c r="AL71" s="325">
        <f t="shared" si="245"/>
        <v>1408.7780377292411</v>
      </c>
      <c r="AM71" s="325">
        <f t="shared" si="245"/>
        <v>1698.9142858844143</v>
      </c>
      <c r="AN71" s="325">
        <f t="shared" si="245"/>
        <v>1989.1230664614232</v>
      </c>
      <c r="AO71" s="325">
        <f t="shared" si="245"/>
        <v>2279.4047421223759</v>
      </c>
      <c r="AP71" s="325">
        <f t="shared" si="245"/>
        <v>2569.7596773426758</v>
      </c>
      <c r="AQ71" s="325">
        <f t="shared" si="245"/>
        <v>2860.1882384201381</v>
      </c>
      <c r="AR71" s="325">
        <f t="shared" si="245"/>
        <v>3150.6907934840492</v>
      </c>
      <c r="AS71" s="325">
        <f t="shared" si="245"/>
        <v>3441.2677125043338</v>
      </c>
      <c r="AT71" s="325">
        <f t="shared" si="245"/>
        <v>3731.9193673007612</v>
      </c>
      <c r="AU71" s="325">
        <f t="shared" si="245"/>
        <v>4022.6461315522401</v>
      </c>
      <c r="AV71" s="325">
        <f t="shared" si="245"/>
        <v>4313.4483808060177</v>
      </c>
      <c r="AW71" s="325">
        <f t="shared" si="245"/>
        <v>4604.3264924871219</v>
      </c>
      <c r="AX71" s="325">
        <f t="shared" si="245"/>
        <v>4895.2808459076987</v>
      </c>
      <c r="AY71" s="325">
        <f t="shared" si="245"/>
        <v>6996.996940381905</v>
      </c>
      <c r="AZ71" s="325">
        <f t="shared" si="245"/>
        <v>7150.2900409190042</v>
      </c>
      <c r="BA71" s="325">
        <f t="shared" si="245"/>
        <v>7303.660532549311</v>
      </c>
      <c r="BB71" s="325">
        <f t="shared" si="245"/>
        <v>7457.1088022283147</v>
      </c>
      <c r="BC71" s="325">
        <f t="shared" si="245"/>
        <v>7610.6352388462219</v>
      </c>
      <c r="BD71" s="325">
        <f t="shared" si="245"/>
        <v>7764.2402332377569</v>
      </c>
      <c r="BE71" s="325">
        <f t="shared" si="245"/>
        <v>7917.9241781917699</v>
      </c>
      <c r="BF71" s="325">
        <f t="shared" si="245"/>
        <v>8071.6874684611066</v>
      </c>
      <c r="BG71" s="325">
        <f t="shared" si="245"/>
        <v>8225.5305007722927</v>
      </c>
      <c r="BH71" s="325">
        <f t="shared" si="245"/>
        <v>8379.4536738355473</v>
      </c>
      <c r="BI71" s="325">
        <f t="shared" si="245"/>
        <v>8533.4573883546764</v>
      </c>
      <c r="BJ71" s="325">
        <f t="shared" si="245"/>
        <v>8687.5420470369263</v>
      </c>
      <c r="BK71" s="325">
        <f t="shared" si="238"/>
        <v>0</v>
      </c>
      <c r="BL71" s="325">
        <f t="shared" si="239"/>
        <v>-5822.4637168341415</v>
      </c>
      <c r="BM71" s="325">
        <f t="shared" si="240"/>
        <v>-2067.3289841177216</v>
      </c>
      <c r="BN71" s="325">
        <f t="shared" si="241"/>
        <v>1408.7780377292411</v>
      </c>
      <c r="BO71" s="325">
        <f t="shared" si="242"/>
        <v>4895.2808459076987</v>
      </c>
      <c r="BP71" s="325">
        <f t="shared" si="243"/>
        <v>8687.5420470369263</v>
      </c>
    </row>
    <row r="72" spans="1:68" ht="15.75">
      <c r="A72" s="321"/>
    </row>
    <row r="73" spans="1:68">
      <c r="A73" s="322" t="s">
        <v>447</v>
      </c>
      <c r="BK73">
        <f t="shared" si="238"/>
        <v>0</v>
      </c>
      <c r="BL73">
        <f t="shared" si="239"/>
        <v>0</v>
      </c>
      <c r="BM73">
        <f t="shared" si="240"/>
        <v>0</v>
      </c>
      <c r="BN73">
        <f t="shared" si="241"/>
        <v>0</v>
      </c>
      <c r="BO73">
        <f t="shared" si="242"/>
        <v>0</v>
      </c>
      <c r="BP73">
        <f t="shared" si="243"/>
        <v>0</v>
      </c>
    </row>
    <row r="74" spans="1:68" ht="15.75">
      <c r="A74" s="321" t="s">
        <v>448</v>
      </c>
      <c r="C74" s="288">
        <f t="shared" ref="C74:N74" si="246">C25-B25</f>
        <v>176.80316724465956</v>
      </c>
      <c r="D74" s="288">
        <f t="shared" si="246"/>
        <v>177.68718308088137</v>
      </c>
      <c r="E74" s="288">
        <f t="shared" si="246"/>
        <v>178.57561899627763</v>
      </c>
      <c r="F74" s="288">
        <f t="shared" si="246"/>
        <v>179.468497091264</v>
      </c>
      <c r="G74" s="288">
        <f t="shared" si="246"/>
        <v>180.36583957671246</v>
      </c>
      <c r="H74" s="288">
        <f t="shared" si="246"/>
        <v>181.26766877460614</v>
      </c>
      <c r="I74" s="288">
        <f t="shared" si="246"/>
        <v>182.17400711847586</v>
      </c>
      <c r="J74" s="288">
        <f t="shared" si="246"/>
        <v>183.08487715406227</v>
      </c>
      <c r="K74" s="288">
        <f t="shared" si="246"/>
        <v>184.00030153983971</v>
      </c>
      <c r="L74" s="288">
        <f t="shared" si="246"/>
        <v>184.92030304754007</v>
      </c>
      <c r="M74" s="288">
        <f t="shared" si="246"/>
        <v>185.84490456277854</v>
      </c>
      <c r="N74" s="288">
        <f t="shared" si="246"/>
        <v>186.77412908558472</v>
      </c>
      <c r="O74" s="288">
        <f t="shared" ref="O74:BJ74" si="247">O25-N25</f>
        <v>187.70799973101384</v>
      </c>
      <c r="P74" s="288">
        <f t="shared" si="247"/>
        <v>188.64653972968517</v>
      </c>
      <c r="Q74" s="288">
        <f t="shared" si="247"/>
        <v>189.58977242832043</v>
      </c>
      <c r="R74" s="288">
        <f t="shared" si="247"/>
        <v>190.53772129046411</v>
      </c>
      <c r="S74" s="288">
        <f t="shared" si="247"/>
        <v>191.49040989690548</v>
      </c>
      <c r="T74" s="288">
        <f t="shared" si="247"/>
        <v>192.44786194639892</v>
      </c>
      <c r="U74" s="288">
        <f t="shared" si="247"/>
        <v>193.41010125612956</v>
      </c>
      <c r="V74" s="288">
        <f t="shared" si="247"/>
        <v>194.37715176241181</v>
      </c>
      <c r="W74" s="288">
        <f t="shared" si="247"/>
        <v>195.34903752122045</v>
      </c>
      <c r="X74" s="288">
        <f t="shared" si="247"/>
        <v>196.32578270883096</v>
      </c>
      <c r="Y74" s="288">
        <f t="shared" si="247"/>
        <v>197.30741162237246</v>
      </c>
      <c r="Z74" s="288">
        <f t="shared" si="247"/>
        <v>198.29394868048985</v>
      </c>
      <c r="AA74" s="288">
        <f t="shared" si="247"/>
        <v>199.28541842388222</v>
      </c>
      <c r="AB74" s="288">
        <f t="shared" si="247"/>
        <v>200.28184551600862</v>
      </c>
      <c r="AC74" s="288">
        <f t="shared" si="247"/>
        <v>201.28325474357553</v>
      </c>
      <c r="AD74" s="288">
        <f t="shared" si="247"/>
        <v>202.28967101731541</v>
      </c>
      <c r="AE74" s="288">
        <f t="shared" si="247"/>
        <v>203.30111937239417</v>
      </c>
      <c r="AF74" s="288">
        <f t="shared" si="247"/>
        <v>204.31762496925512</v>
      </c>
      <c r="AG74" s="288">
        <f t="shared" si="247"/>
        <v>205.33921309409197</v>
      </c>
      <c r="AH74" s="288">
        <f t="shared" si="247"/>
        <v>206.36590915956913</v>
      </c>
      <c r="AI74" s="288">
        <f t="shared" si="247"/>
        <v>207.39773870536737</v>
      </c>
      <c r="AJ74" s="288">
        <f t="shared" si="247"/>
        <v>208.43472739889694</v>
      </c>
      <c r="AK74" s="288">
        <f t="shared" si="247"/>
        <v>209.47690103588684</v>
      </c>
      <c r="AL74" s="288">
        <f t="shared" si="247"/>
        <v>210.5242855410761</v>
      </c>
      <c r="AM74" s="288">
        <f t="shared" si="247"/>
        <v>211.57690696877398</v>
      </c>
      <c r="AN74" s="288">
        <f t="shared" si="247"/>
        <v>212.634791503624</v>
      </c>
      <c r="AO74" s="288">
        <f t="shared" si="247"/>
        <v>213.6979654611423</v>
      </c>
      <c r="AP74" s="288">
        <f t="shared" si="247"/>
        <v>214.76645528843801</v>
      </c>
      <c r="AQ74" s="288">
        <f t="shared" si="247"/>
        <v>215.84028756487533</v>
      </c>
      <c r="AR74" s="288">
        <f t="shared" si="247"/>
        <v>216.91948900270654</v>
      </c>
      <c r="AS74" s="288">
        <f t="shared" si="247"/>
        <v>218.00408644772688</v>
      </c>
      <c r="AT74" s="288">
        <f t="shared" si="247"/>
        <v>219.09410687995842</v>
      </c>
      <c r="AU74" s="288">
        <f t="shared" si="247"/>
        <v>220.18957741436316</v>
      </c>
      <c r="AV74" s="288">
        <f t="shared" si="247"/>
        <v>221.29052530142508</v>
      </c>
      <c r="AW74" s="288">
        <f t="shared" si="247"/>
        <v>222.39697792794323</v>
      </c>
      <c r="AX74" s="288">
        <f t="shared" si="247"/>
        <v>223.50896281758469</v>
      </c>
      <c r="AY74" s="288">
        <f t="shared" si="247"/>
        <v>-3641.9337982539146</v>
      </c>
      <c r="AZ74" s="288">
        <f t="shared" si="247"/>
        <v>-3660.1434672451869</v>
      </c>
      <c r="BA74" s="288">
        <f t="shared" si="247"/>
        <v>-3678.4441845814072</v>
      </c>
      <c r="BB74" s="288">
        <f t="shared" si="247"/>
        <v>-3696.8364055043203</v>
      </c>
      <c r="BC74" s="288">
        <f t="shared" si="247"/>
        <v>-3715.3205875318381</v>
      </c>
      <c r="BD74" s="288">
        <f t="shared" si="247"/>
        <v>-3733.897190469499</v>
      </c>
      <c r="BE74" s="288">
        <f t="shared" si="247"/>
        <v>-3752.5666764218477</v>
      </c>
      <c r="BF74" s="288">
        <f t="shared" si="247"/>
        <v>-3771.329509803958</v>
      </c>
      <c r="BG74" s="288">
        <f t="shared" si="247"/>
        <v>-3790.186157352975</v>
      </c>
      <c r="BH74" s="288">
        <f t="shared" si="247"/>
        <v>-3809.1370881397397</v>
      </c>
      <c r="BI74" s="288">
        <f t="shared" si="247"/>
        <v>-3828.1827735804395</v>
      </c>
      <c r="BJ74" s="288">
        <f t="shared" si="247"/>
        <v>-3847.3236874483414</v>
      </c>
      <c r="BK74" s="288">
        <f t="shared" si="238"/>
        <v>0</v>
      </c>
      <c r="BL74" s="288">
        <f t="shared" si="239"/>
        <v>186.77412908558472</v>
      </c>
      <c r="BM74" s="288">
        <f t="shared" si="240"/>
        <v>198.29394868048985</v>
      </c>
      <c r="BN74" s="288">
        <f t="shared" si="241"/>
        <v>210.5242855410761</v>
      </c>
      <c r="BO74" s="288">
        <f t="shared" si="242"/>
        <v>223.50896281758469</v>
      </c>
      <c r="BP74" s="288">
        <f t="shared" si="243"/>
        <v>-3847.3236874483414</v>
      </c>
    </row>
    <row r="75" spans="1:68" ht="15.75">
      <c r="A75" s="321" t="s">
        <v>449</v>
      </c>
      <c r="C75" s="288">
        <f t="shared" ref="C75:N75" si="248">C33-B33</f>
        <v>-3043.3634731302445</v>
      </c>
      <c r="D75" s="288">
        <f t="shared" si="248"/>
        <v>-3058.5802904958837</v>
      </c>
      <c r="E75" s="288">
        <f t="shared" si="248"/>
        <v>-3073.8731919483689</v>
      </c>
      <c r="F75" s="288">
        <f t="shared" si="248"/>
        <v>-3089.2425579081173</v>
      </c>
      <c r="G75" s="288">
        <f t="shared" si="248"/>
        <v>-3104.6887706976559</v>
      </c>
      <c r="H75" s="288">
        <f t="shared" si="248"/>
        <v>-3120.2122145511094</v>
      </c>
      <c r="I75" s="288">
        <f t="shared" si="248"/>
        <v>-3135.813275623892</v>
      </c>
      <c r="J75" s="288">
        <f t="shared" si="248"/>
        <v>-3151.4923420020205</v>
      </c>
      <c r="K75" s="288">
        <f t="shared" si="248"/>
        <v>-3167.2498037120386</v>
      </c>
      <c r="L75" s="288">
        <f t="shared" si="248"/>
        <v>-3183.0860527305922</v>
      </c>
      <c r="M75" s="288">
        <f t="shared" si="248"/>
        <v>-3199.0014829942374</v>
      </c>
      <c r="N75" s="288">
        <f t="shared" si="248"/>
        <v>-3214.9964904092194</v>
      </c>
      <c r="O75" s="288">
        <f t="shared" ref="O75:BJ75" si="249">O33-N33</f>
        <v>-3231.0714728612511</v>
      </c>
      <c r="P75" s="288">
        <f t="shared" si="249"/>
        <v>-3247.2268302255688</v>
      </c>
      <c r="Q75" s="288">
        <f t="shared" si="249"/>
        <v>-3263.4629643766821</v>
      </c>
      <c r="R75" s="288">
        <f t="shared" si="249"/>
        <v>-3279.7802791985887</v>
      </c>
      <c r="S75" s="288">
        <f t="shared" si="249"/>
        <v>-3296.1791805945541</v>
      </c>
      <c r="T75" s="288">
        <f t="shared" si="249"/>
        <v>-3312.6600764975447</v>
      </c>
      <c r="U75" s="288">
        <f t="shared" si="249"/>
        <v>-3329.2233768800215</v>
      </c>
      <c r="V75" s="288">
        <f t="shared" si="249"/>
        <v>-3345.8694937644323</v>
      </c>
      <c r="W75" s="288">
        <f t="shared" si="249"/>
        <v>-3362.5988412332372</v>
      </c>
      <c r="X75" s="288">
        <f t="shared" si="249"/>
        <v>-3379.4118354394159</v>
      </c>
      <c r="Y75" s="288">
        <f t="shared" si="249"/>
        <v>-3396.3088946166099</v>
      </c>
      <c r="Z75" s="288">
        <f t="shared" si="249"/>
        <v>-3413.290439089702</v>
      </c>
      <c r="AA75" s="288">
        <f t="shared" si="249"/>
        <v>-3430.3568912851333</v>
      </c>
      <c r="AB75" s="288">
        <f t="shared" si="249"/>
        <v>-3447.5086757415556</v>
      </c>
      <c r="AC75" s="288">
        <f t="shared" si="249"/>
        <v>-3464.7462191202503</v>
      </c>
      <c r="AD75" s="288">
        <f t="shared" si="249"/>
        <v>-3482.0699502158968</v>
      </c>
      <c r="AE75" s="288">
        <f t="shared" si="249"/>
        <v>-3499.4802999669628</v>
      </c>
      <c r="AF75" s="288">
        <f t="shared" si="249"/>
        <v>-3516.9777014667925</v>
      </c>
      <c r="AG75" s="288">
        <f t="shared" si="249"/>
        <v>-3534.5625899741062</v>
      </c>
      <c r="AH75" s="288">
        <f t="shared" si="249"/>
        <v>-3552.2354029239868</v>
      </c>
      <c r="AI75" s="288">
        <f t="shared" si="249"/>
        <v>-3569.9965799386191</v>
      </c>
      <c r="AJ75" s="288">
        <f t="shared" si="249"/>
        <v>-3587.8465628383128</v>
      </c>
      <c r="AK75" s="288">
        <f t="shared" si="249"/>
        <v>-3605.7857956524967</v>
      </c>
      <c r="AL75" s="288">
        <f t="shared" si="249"/>
        <v>-3623.8147246307635</v>
      </c>
      <c r="AM75" s="288">
        <f t="shared" si="249"/>
        <v>-3641.9337982539219</v>
      </c>
      <c r="AN75" s="288">
        <f t="shared" si="249"/>
        <v>-3660.1434672451942</v>
      </c>
      <c r="AO75" s="288">
        <f t="shared" si="249"/>
        <v>-3678.4441845814217</v>
      </c>
      <c r="AP75" s="288">
        <f t="shared" si="249"/>
        <v>-3696.8364055043203</v>
      </c>
      <c r="AQ75" s="288">
        <f t="shared" si="249"/>
        <v>-3715.3205875318235</v>
      </c>
      <c r="AR75" s="288">
        <f t="shared" si="249"/>
        <v>-3733.897190469499</v>
      </c>
      <c r="AS75" s="288">
        <f t="shared" si="249"/>
        <v>-3752.5666764218477</v>
      </c>
      <c r="AT75" s="288">
        <f t="shared" si="249"/>
        <v>-3771.3295098039525</v>
      </c>
      <c r="AU75" s="288">
        <f t="shared" si="249"/>
        <v>-3790.186157352975</v>
      </c>
      <c r="AV75" s="288">
        <f t="shared" si="249"/>
        <v>-3809.1370881397306</v>
      </c>
      <c r="AW75" s="288">
        <f t="shared" si="249"/>
        <v>-3828.18277358044</v>
      </c>
      <c r="AX75" s="288">
        <f t="shared" si="249"/>
        <v>-3847.3236874483482</v>
      </c>
      <c r="AY75" s="288">
        <f t="shared" si="249"/>
        <v>0</v>
      </c>
      <c r="AZ75" s="288">
        <f t="shared" si="249"/>
        <v>0</v>
      </c>
      <c r="BA75" s="288">
        <f t="shared" si="249"/>
        <v>0</v>
      </c>
      <c r="BB75" s="288">
        <f t="shared" si="249"/>
        <v>0</v>
      </c>
      <c r="BC75" s="288">
        <f t="shared" si="249"/>
        <v>0</v>
      </c>
      <c r="BD75" s="288">
        <f t="shared" si="249"/>
        <v>0</v>
      </c>
      <c r="BE75" s="288">
        <f t="shared" si="249"/>
        <v>0</v>
      </c>
      <c r="BF75" s="288">
        <f t="shared" si="249"/>
        <v>0</v>
      </c>
      <c r="BG75" s="288">
        <f t="shared" si="249"/>
        <v>0</v>
      </c>
      <c r="BH75" s="288">
        <f t="shared" si="249"/>
        <v>0</v>
      </c>
      <c r="BI75" s="288">
        <f t="shared" si="249"/>
        <v>0</v>
      </c>
      <c r="BJ75" s="288">
        <f t="shared" si="249"/>
        <v>0</v>
      </c>
      <c r="BK75" s="288">
        <f t="shared" si="238"/>
        <v>0</v>
      </c>
      <c r="BL75" s="288">
        <f t="shared" si="239"/>
        <v>-3214.9964904092194</v>
      </c>
      <c r="BM75" s="288">
        <f t="shared" si="240"/>
        <v>-3413.290439089702</v>
      </c>
      <c r="BN75" s="288">
        <f t="shared" si="241"/>
        <v>-3623.8147246307635</v>
      </c>
      <c r="BO75" s="288">
        <f t="shared" si="242"/>
        <v>-3847.3236874483482</v>
      </c>
      <c r="BP75" s="288">
        <f t="shared" si="243"/>
        <v>0</v>
      </c>
    </row>
    <row r="76" spans="1:68" ht="15.75">
      <c r="A76" s="321" t="s">
        <v>450</v>
      </c>
      <c r="C76" s="288">
        <f>C38-B38</f>
        <v>269.11009999999999</v>
      </c>
      <c r="D76" s="288">
        <f t="shared" ref="D76:N76" si="250">D38-C38</f>
        <v>221.75167500000009</v>
      </c>
      <c r="E76" s="288">
        <f t="shared" si="250"/>
        <v>236.69100000000003</v>
      </c>
      <c r="F76" s="288">
        <f t="shared" si="250"/>
        <v>251.63032499999997</v>
      </c>
      <c r="G76" s="288">
        <f t="shared" si="250"/>
        <v>266.56965000000002</v>
      </c>
      <c r="H76" s="288">
        <f t="shared" si="250"/>
        <v>281.50897499999996</v>
      </c>
      <c r="I76" s="288">
        <f t="shared" si="250"/>
        <v>296.44830000000002</v>
      </c>
      <c r="J76" s="288">
        <f t="shared" si="250"/>
        <v>311.38762500000007</v>
      </c>
      <c r="K76" s="288">
        <f t="shared" si="250"/>
        <v>326.32695000000012</v>
      </c>
      <c r="L76" s="288">
        <f t="shared" si="250"/>
        <v>341.26627499999995</v>
      </c>
      <c r="M76" s="288">
        <f t="shared" si="250"/>
        <v>356.20560000000023</v>
      </c>
      <c r="N76" s="288">
        <f t="shared" si="250"/>
        <v>371.14492500000006</v>
      </c>
      <c r="O76" s="288">
        <f t="shared" ref="O76:BJ76" si="251">O38-N38</f>
        <v>386.08425000000034</v>
      </c>
      <c r="P76" s="288">
        <f t="shared" si="251"/>
        <v>401.02357500000016</v>
      </c>
      <c r="Q76" s="288">
        <f t="shared" si="251"/>
        <v>415.96290000000045</v>
      </c>
      <c r="R76" s="288">
        <f t="shared" si="251"/>
        <v>430.90222499999982</v>
      </c>
      <c r="S76" s="288">
        <f t="shared" si="251"/>
        <v>445.8415500000001</v>
      </c>
      <c r="T76" s="288">
        <f t="shared" si="251"/>
        <v>460.78087500000038</v>
      </c>
      <c r="U76" s="288">
        <f t="shared" si="251"/>
        <v>475.72019999999975</v>
      </c>
      <c r="V76" s="288">
        <f t="shared" si="251"/>
        <v>490.65952500000003</v>
      </c>
      <c r="W76" s="288">
        <f t="shared" si="251"/>
        <v>505.59885000000031</v>
      </c>
      <c r="X76" s="288">
        <f t="shared" si="251"/>
        <v>520.53817499999968</v>
      </c>
      <c r="Y76" s="288">
        <f t="shared" si="251"/>
        <v>535.47750000000087</v>
      </c>
      <c r="Z76" s="288">
        <f t="shared" si="251"/>
        <v>550.41682500000024</v>
      </c>
      <c r="AA76" s="288">
        <f t="shared" si="251"/>
        <v>565.35614999999962</v>
      </c>
      <c r="AB76" s="288">
        <f t="shared" si="251"/>
        <v>580.29547500000081</v>
      </c>
      <c r="AC76" s="288">
        <f t="shared" si="251"/>
        <v>595.23480000000018</v>
      </c>
      <c r="AD76" s="288">
        <f t="shared" si="251"/>
        <v>610.17412499999955</v>
      </c>
      <c r="AE76" s="288">
        <f t="shared" si="251"/>
        <v>625.11345000000074</v>
      </c>
      <c r="AF76" s="288">
        <f t="shared" si="251"/>
        <v>640.05277500000011</v>
      </c>
      <c r="AG76" s="288">
        <f t="shared" si="251"/>
        <v>654.99209999999948</v>
      </c>
      <c r="AH76" s="288">
        <f t="shared" si="251"/>
        <v>669.93142500000067</v>
      </c>
      <c r="AI76" s="288">
        <f t="shared" si="251"/>
        <v>684.87075000000004</v>
      </c>
      <c r="AJ76" s="288">
        <f t="shared" si="251"/>
        <v>699.81007499999942</v>
      </c>
      <c r="AK76" s="288">
        <f t="shared" si="251"/>
        <v>714.74940000000061</v>
      </c>
      <c r="AL76" s="288">
        <f t="shared" si="251"/>
        <v>729.68872499999998</v>
      </c>
      <c r="AM76" s="288">
        <f t="shared" si="251"/>
        <v>744.62804999999935</v>
      </c>
      <c r="AN76" s="288">
        <f t="shared" si="251"/>
        <v>759.56737499999872</v>
      </c>
      <c r="AO76" s="288">
        <f t="shared" si="251"/>
        <v>774.50670000000173</v>
      </c>
      <c r="AP76" s="288">
        <f t="shared" si="251"/>
        <v>789.4460250000011</v>
      </c>
      <c r="AQ76" s="288">
        <f t="shared" si="251"/>
        <v>804.38535000000047</v>
      </c>
      <c r="AR76" s="288">
        <f t="shared" si="251"/>
        <v>819.32467499999984</v>
      </c>
      <c r="AS76" s="288">
        <f t="shared" si="251"/>
        <v>834.26399999999921</v>
      </c>
      <c r="AT76" s="288">
        <f t="shared" si="251"/>
        <v>849.20332499999859</v>
      </c>
      <c r="AU76" s="288">
        <f t="shared" si="251"/>
        <v>864.14265000000159</v>
      </c>
      <c r="AV76" s="288">
        <f t="shared" si="251"/>
        <v>879.08197500000097</v>
      </c>
      <c r="AW76" s="288">
        <f t="shared" si="251"/>
        <v>894.02130000000034</v>
      </c>
      <c r="AX76" s="288">
        <f t="shared" si="251"/>
        <v>908.96062499999971</v>
      </c>
      <c r="AY76" s="288">
        <f t="shared" si="251"/>
        <v>913.9403999999995</v>
      </c>
      <c r="AZ76" s="288">
        <f t="shared" si="251"/>
        <v>921.41006249999919</v>
      </c>
      <c r="BA76" s="288">
        <f t="shared" si="251"/>
        <v>928.87972499999887</v>
      </c>
      <c r="BB76" s="288">
        <f t="shared" si="251"/>
        <v>936.34938749999856</v>
      </c>
      <c r="BC76" s="288">
        <f t="shared" si="251"/>
        <v>943.81904999999824</v>
      </c>
      <c r="BD76" s="288">
        <f t="shared" si="251"/>
        <v>951.28871250000157</v>
      </c>
      <c r="BE76" s="288">
        <f t="shared" si="251"/>
        <v>958.75837499999761</v>
      </c>
      <c r="BF76" s="288">
        <f t="shared" si="251"/>
        <v>966.2280374999973</v>
      </c>
      <c r="BG76" s="288">
        <f t="shared" si="251"/>
        <v>973.69769999999698</v>
      </c>
      <c r="BH76" s="288">
        <f t="shared" si="251"/>
        <v>981.16736249999667</v>
      </c>
      <c r="BI76" s="288">
        <f t="shared" si="251"/>
        <v>988.63702500000363</v>
      </c>
      <c r="BJ76" s="288">
        <f t="shared" si="251"/>
        <v>996.10668750000332</v>
      </c>
      <c r="BK76" s="288">
        <f t="shared" si="238"/>
        <v>0</v>
      </c>
      <c r="BL76" s="288">
        <f t="shared" si="239"/>
        <v>371.14492500000006</v>
      </c>
      <c r="BM76" s="288">
        <f t="shared" si="240"/>
        <v>550.41682500000024</v>
      </c>
      <c r="BN76" s="288">
        <f t="shared" si="241"/>
        <v>729.68872499999998</v>
      </c>
      <c r="BO76" s="288">
        <f t="shared" si="242"/>
        <v>908.96062499999971</v>
      </c>
      <c r="BP76" s="288">
        <f t="shared" si="243"/>
        <v>996.10668750000332</v>
      </c>
    </row>
    <row r="77" spans="1:68" ht="15.75">
      <c r="A77" s="326" t="s">
        <v>451</v>
      </c>
      <c r="BK77">
        <f t="shared" si="238"/>
        <v>0</v>
      </c>
      <c r="BL77">
        <f t="shared" si="239"/>
        <v>0</v>
      </c>
      <c r="BM77">
        <f t="shared" si="240"/>
        <v>0</v>
      </c>
      <c r="BN77">
        <f t="shared" si="241"/>
        <v>0</v>
      </c>
      <c r="BO77">
        <f t="shared" si="242"/>
        <v>0</v>
      </c>
      <c r="BP77">
        <f t="shared" si="243"/>
        <v>0</v>
      </c>
    </row>
    <row r="78" spans="1:68">
      <c r="A78" s="324" t="s">
        <v>452</v>
      </c>
      <c r="B78" s="51"/>
      <c r="C78" s="327">
        <f>SUM(C74:C77)</f>
        <v>-2597.4502058855851</v>
      </c>
      <c r="D78" s="327">
        <f t="shared" ref="D78:N78" si="252">SUM(D74:D77)</f>
        <v>-2659.1414324150023</v>
      </c>
      <c r="E78" s="327">
        <f t="shared" si="252"/>
        <v>-2658.6065729520915</v>
      </c>
      <c r="F78" s="327">
        <f t="shared" si="252"/>
        <v>-2658.1437358168532</v>
      </c>
      <c r="G78" s="327">
        <f t="shared" si="252"/>
        <v>-2657.7532811209435</v>
      </c>
      <c r="H78" s="327">
        <f t="shared" si="252"/>
        <v>-2657.4355707765035</v>
      </c>
      <c r="I78" s="327">
        <f t="shared" si="252"/>
        <v>-2657.1909685054161</v>
      </c>
      <c r="J78" s="327">
        <f t="shared" si="252"/>
        <v>-2657.0198398479579</v>
      </c>
      <c r="K78" s="327">
        <f t="shared" si="252"/>
        <v>-2656.9225521721987</v>
      </c>
      <c r="L78" s="327">
        <f t="shared" si="252"/>
        <v>-2656.8994746830522</v>
      </c>
      <c r="M78" s="327">
        <f t="shared" si="252"/>
        <v>-2656.9509784314587</v>
      </c>
      <c r="N78" s="327">
        <f t="shared" si="252"/>
        <v>-2657.0774363236346</v>
      </c>
      <c r="O78" s="327">
        <f t="shared" ref="O78" si="253">SUM(O74:O77)</f>
        <v>-2657.2792231302369</v>
      </c>
      <c r="P78" s="327">
        <f t="shared" ref="P78" si="254">SUM(P74:P77)</f>
        <v>-2657.5567154958835</v>
      </c>
      <c r="Q78" s="327">
        <f t="shared" ref="Q78" si="255">SUM(Q74:Q77)</f>
        <v>-2657.9102919483612</v>
      </c>
      <c r="R78" s="327">
        <f t="shared" ref="R78" si="256">SUM(R74:R77)</f>
        <v>-2658.3403329081248</v>
      </c>
      <c r="S78" s="327">
        <f t="shared" ref="S78" si="257">SUM(S74:S77)</f>
        <v>-2658.8472206976485</v>
      </c>
      <c r="T78" s="327">
        <f t="shared" ref="T78" si="258">SUM(T74:T77)</f>
        <v>-2659.4313395511454</v>
      </c>
      <c r="U78" s="327">
        <f t="shared" ref="U78" si="259">SUM(U74:U77)</f>
        <v>-2660.0930756238922</v>
      </c>
      <c r="V78" s="327">
        <f t="shared" ref="V78" si="260">SUM(V74:V77)</f>
        <v>-2660.8328170020204</v>
      </c>
      <c r="W78" s="327">
        <f t="shared" ref="W78" si="261">SUM(W74:W77)</f>
        <v>-2661.6509537120164</v>
      </c>
      <c r="X78" s="327">
        <f t="shared" ref="X78" si="262">SUM(X74:X77)</f>
        <v>-2662.5478777305852</v>
      </c>
      <c r="Y78" s="327">
        <f t="shared" ref="Y78" si="263">SUM(Y74:Y77)</f>
        <v>-2663.5239829942366</v>
      </c>
      <c r="Z78" s="327">
        <f t="shared" ref="Z78" si="264">SUM(Z74:Z77)</f>
        <v>-2664.5796654092119</v>
      </c>
      <c r="AA78" s="327">
        <f t="shared" ref="AA78" si="265">SUM(AA74:AA77)</f>
        <v>-2665.7153228612515</v>
      </c>
      <c r="AB78" s="327">
        <f t="shared" ref="AB78" si="266">SUM(AB74:AB77)</f>
        <v>-2666.9313552255462</v>
      </c>
      <c r="AC78" s="327">
        <f t="shared" ref="AC78" si="267">SUM(AC74:AC77)</f>
        <v>-2668.2281643766746</v>
      </c>
      <c r="AD78" s="327">
        <f t="shared" ref="AD78" si="268">SUM(AD74:AD77)</f>
        <v>-2669.6061541985819</v>
      </c>
      <c r="AE78" s="327">
        <f t="shared" ref="AE78" si="269">SUM(AE74:AE77)</f>
        <v>-2671.0657305945679</v>
      </c>
      <c r="AF78" s="327">
        <f t="shared" ref="AF78" si="270">SUM(AF74:AF77)</f>
        <v>-2672.6073014975373</v>
      </c>
      <c r="AG78" s="327">
        <f t="shared" ref="AG78" si="271">SUM(AG74:AG77)</f>
        <v>-2674.2312768800148</v>
      </c>
      <c r="AH78" s="327">
        <f t="shared" ref="AH78" si="272">SUM(AH74:AH77)</f>
        <v>-2675.938068764417</v>
      </c>
      <c r="AI78" s="327">
        <f t="shared" ref="AI78" si="273">SUM(AI74:AI77)</f>
        <v>-2677.7280912332517</v>
      </c>
      <c r="AJ78" s="327">
        <f t="shared" ref="AJ78" si="274">SUM(AJ74:AJ77)</f>
        <v>-2679.6017604394165</v>
      </c>
      <c r="AK78" s="327">
        <f t="shared" ref="AK78" si="275">SUM(AK74:AK77)</f>
        <v>-2681.5594946166093</v>
      </c>
      <c r="AL78" s="327">
        <f t="shared" ref="AL78" si="276">SUM(AL74:AL77)</f>
        <v>-2683.6017140896874</v>
      </c>
      <c r="AM78" s="327">
        <f t="shared" ref="AM78" si="277">SUM(AM74:AM77)</f>
        <v>-2685.7288412851485</v>
      </c>
      <c r="AN78" s="327">
        <f t="shared" ref="AN78" si="278">SUM(AN74:AN77)</f>
        <v>-2687.9413007415715</v>
      </c>
      <c r="AO78" s="327">
        <f t="shared" ref="AO78" si="279">SUM(AO74:AO77)</f>
        <v>-2690.2395191202777</v>
      </c>
      <c r="AP78" s="327">
        <f t="shared" ref="AP78" si="280">SUM(AP74:AP77)</f>
        <v>-2692.6239252158812</v>
      </c>
      <c r="AQ78" s="327">
        <f t="shared" ref="AQ78" si="281">SUM(AQ74:AQ77)</f>
        <v>-2695.0949499669478</v>
      </c>
      <c r="AR78" s="327">
        <f t="shared" ref="AR78" si="282">SUM(AR74:AR77)</f>
        <v>-2697.6530264667927</v>
      </c>
      <c r="AS78" s="327">
        <f t="shared" ref="AS78" si="283">SUM(AS74:AS77)</f>
        <v>-2700.2985899741216</v>
      </c>
      <c r="AT78" s="327">
        <f t="shared" ref="AT78" si="284">SUM(AT74:AT77)</f>
        <v>-2703.0320779239955</v>
      </c>
      <c r="AU78" s="327">
        <f t="shared" ref="AU78" si="285">SUM(AU74:AU77)</f>
        <v>-2705.8539299386102</v>
      </c>
      <c r="AV78" s="327">
        <f t="shared" ref="AV78" si="286">SUM(AV74:AV77)</f>
        <v>-2708.7645878383046</v>
      </c>
      <c r="AW78" s="327">
        <f t="shared" ref="AW78" si="287">SUM(AW74:AW77)</f>
        <v>-2711.7644956524964</v>
      </c>
      <c r="AX78" s="327">
        <f t="shared" ref="AX78" si="288">SUM(AX74:AX77)</f>
        <v>-2714.8540996307638</v>
      </c>
      <c r="AY78" s="327">
        <f t="shared" ref="AY78" si="289">SUM(AY74:AY77)</f>
        <v>-2727.9933982539151</v>
      </c>
      <c r="AZ78" s="327">
        <f t="shared" ref="AZ78" si="290">SUM(AZ74:AZ77)</f>
        <v>-2738.7334047451877</v>
      </c>
      <c r="BA78" s="327">
        <f t="shared" ref="BA78" si="291">SUM(BA74:BA77)</f>
        <v>-2749.5644595814083</v>
      </c>
      <c r="BB78" s="327">
        <f t="shared" ref="BB78" si="292">SUM(BB74:BB77)</f>
        <v>-2760.4870180043217</v>
      </c>
      <c r="BC78" s="327">
        <f t="shared" ref="BC78" si="293">SUM(BC74:BC77)</f>
        <v>-2771.5015375318399</v>
      </c>
      <c r="BD78" s="327">
        <f t="shared" ref="BD78" si="294">SUM(BD74:BD77)</f>
        <v>-2782.6084779694975</v>
      </c>
      <c r="BE78" s="327">
        <f t="shared" ref="BE78" si="295">SUM(BE74:BE77)</f>
        <v>-2793.80830142185</v>
      </c>
      <c r="BF78" s="327">
        <f t="shared" ref="BF78" si="296">SUM(BF74:BF77)</f>
        <v>-2805.1014723039607</v>
      </c>
      <c r="BG78" s="327">
        <f t="shared" ref="BG78" si="297">SUM(BG74:BG77)</f>
        <v>-2816.488457352978</v>
      </c>
      <c r="BH78" s="327">
        <f t="shared" ref="BH78" si="298">SUM(BH74:BH77)</f>
        <v>-2827.969725639743</v>
      </c>
      <c r="BI78" s="327">
        <f t="shared" ref="BI78" si="299">SUM(BI74:BI77)</f>
        <v>-2839.5457485804359</v>
      </c>
      <c r="BJ78" s="327">
        <f t="shared" ref="BJ78" si="300">SUM(BJ74:BJ77)</f>
        <v>-2851.2169999483381</v>
      </c>
      <c r="BK78" s="327">
        <f t="shared" si="238"/>
        <v>0</v>
      </c>
      <c r="BL78" s="464">
        <f>SUM(C78:N78)</f>
        <v>-31830.592048930703</v>
      </c>
      <c r="BM78" s="464">
        <f>SUM(O78:Z78)</f>
        <v>-31922.593496203364</v>
      </c>
      <c r="BN78" s="464">
        <f>SUM(AA78:AL78)</f>
        <v>-32086.814434777552</v>
      </c>
      <c r="BO78" s="464">
        <f>SUM(AM78:AX78)</f>
        <v>-32393.849343754911</v>
      </c>
      <c r="BP78" s="464">
        <f>SUM(AY78:BJ78)</f>
        <v>-33465.019001333472</v>
      </c>
    </row>
    <row r="79" spans="1:68" ht="15.75">
      <c r="A79" s="326"/>
    </row>
    <row r="80" spans="1:68">
      <c r="A80" s="324" t="s">
        <v>453</v>
      </c>
      <c r="B80" s="51"/>
      <c r="C80" s="325">
        <f>C71+C78</f>
        <v>-65005.917134404081</v>
      </c>
      <c r="D80" s="325">
        <f>D71+D78</f>
        <v>-32676.889058988767</v>
      </c>
      <c r="E80" s="325">
        <f t="shared" ref="E80:N80" si="301">E71+E78</f>
        <v>-10852.563233573492</v>
      </c>
      <c r="F80" s="325">
        <f t="shared" si="301"/>
        <v>-10461.737408158202</v>
      </c>
      <c r="G80" s="325">
        <f t="shared" si="301"/>
        <v>-10070.911582742916</v>
      </c>
      <c r="H80" s="325">
        <f t="shared" si="301"/>
        <v>-9680.0857573275789</v>
      </c>
      <c r="I80" s="325">
        <f t="shared" si="301"/>
        <v>-10175.589329858027</v>
      </c>
      <c r="J80" s="325">
        <f t="shared" si="301"/>
        <v>-9836.379694517982</v>
      </c>
      <c r="K80" s="325">
        <f t="shared" si="301"/>
        <v>-9497.1700591779354</v>
      </c>
      <c r="L80" s="325">
        <f t="shared" si="301"/>
        <v>-9157.960423837867</v>
      </c>
      <c r="M80" s="325">
        <f t="shared" si="301"/>
        <v>-8818.7507884978077</v>
      </c>
      <c r="N80" s="325">
        <f t="shared" si="301"/>
        <v>-8479.5411531577756</v>
      </c>
      <c r="O80" s="325">
        <f t="shared" ref="O80:BJ80" si="302">O71+O78</f>
        <v>-8140.3315178177036</v>
      </c>
      <c r="P80" s="325">
        <f t="shared" si="302"/>
        <v>-7801.1218824776452</v>
      </c>
      <c r="Q80" s="325">
        <f t="shared" si="302"/>
        <v>-7461.9122471375904</v>
      </c>
      <c r="R80" s="325">
        <f t="shared" si="302"/>
        <v>-7122.7026117975556</v>
      </c>
      <c r="S80" s="325">
        <f t="shared" si="302"/>
        <v>-6783.4929764574899</v>
      </c>
      <c r="T80" s="325">
        <f t="shared" si="302"/>
        <v>-6461.1055408824977</v>
      </c>
      <c r="U80" s="325">
        <f t="shared" si="302"/>
        <v>-6172.8766112543581</v>
      </c>
      <c r="V80" s="325">
        <f t="shared" si="302"/>
        <v>-5884.6593824220363</v>
      </c>
      <c r="W80" s="325">
        <f t="shared" si="302"/>
        <v>-5596.4539128894758</v>
      </c>
      <c r="X80" s="325">
        <f t="shared" si="302"/>
        <v>-5308.2602614532207</v>
      </c>
      <c r="Y80" s="325">
        <f t="shared" si="302"/>
        <v>-5020.0784872037284</v>
      </c>
      <c r="Z80" s="325">
        <f t="shared" si="302"/>
        <v>-4731.908649526933</v>
      </c>
      <c r="AA80" s="325">
        <f t="shared" si="302"/>
        <v>-4443.7508081056931</v>
      </c>
      <c r="AB80" s="325">
        <f t="shared" si="302"/>
        <v>-4155.6050229212724</v>
      </c>
      <c r="AC80" s="325">
        <f t="shared" si="302"/>
        <v>-3867.4713542548975</v>
      </c>
      <c r="AD80" s="325">
        <f t="shared" si="302"/>
        <v>-3579.3498626891687</v>
      </c>
      <c r="AE80" s="325">
        <f t="shared" si="302"/>
        <v>-3291.2406091094972</v>
      </c>
      <c r="AF80" s="325">
        <f t="shared" si="302"/>
        <v>-3003.1436547058979</v>
      </c>
      <c r="AG80" s="325">
        <f t="shared" si="302"/>
        <v>-2715.0590609742221</v>
      </c>
      <c r="AH80" s="325">
        <f t="shared" si="302"/>
        <v>-2426.9868897178339</v>
      </c>
      <c r="AI80" s="325">
        <f t="shared" si="302"/>
        <v>-2138.927203049122</v>
      </c>
      <c r="AJ80" s="325">
        <f t="shared" si="302"/>
        <v>-1850.8800633910096</v>
      </c>
      <c r="AK80" s="325">
        <f t="shared" si="302"/>
        <v>-1562.8455334785431</v>
      </c>
      <c r="AL80" s="325">
        <f t="shared" si="302"/>
        <v>-1274.8236763604464</v>
      </c>
      <c r="AM80" s="325">
        <f t="shared" si="302"/>
        <v>-986.81455540073421</v>
      </c>
      <c r="AN80" s="325">
        <f t="shared" si="302"/>
        <v>-698.81823428014832</v>
      </c>
      <c r="AO80" s="325">
        <f t="shared" si="302"/>
        <v>-410.83477699790183</v>
      </c>
      <c r="AP80" s="325">
        <f t="shared" si="302"/>
        <v>-122.86424787320539</v>
      </c>
      <c r="AQ80" s="325">
        <f t="shared" si="302"/>
        <v>165.09328845319033</v>
      </c>
      <c r="AR80" s="325">
        <f t="shared" si="302"/>
        <v>453.03776701725656</v>
      </c>
      <c r="AS80" s="325">
        <f t="shared" si="302"/>
        <v>740.96912253021219</v>
      </c>
      <c r="AT80" s="325">
        <f t="shared" si="302"/>
        <v>1028.8872893767657</v>
      </c>
      <c r="AU80" s="325">
        <f t="shared" si="302"/>
        <v>1316.7922016136299</v>
      </c>
      <c r="AV80" s="325">
        <f t="shared" si="302"/>
        <v>1604.6837929677131</v>
      </c>
      <c r="AW80" s="325">
        <f t="shared" si="302"/>
        <v>1892.5619968346255</v>
      </c>
      <c r="AX80" s="325">
        <f t="shared" si="302"/>
        <v>2180.4267462769349</v>
      </c>
      <c r="AY80" s="325">
        <f t="shared" si="302"/>
        <v>4269.0035421279899</v>
      </c>
      <c r="AZ80" s="325">
        <f t="shared" si="302"/>
        <v>4411.5566361738165</v>
      </c>
      <c r="BA80" s="325">
        <f t="shared" si="302"/>
        <v>4554.0960729679027</v>
      </c>
      <c r="BB80" s="325">
        <f t="shared" si="302"/>
        <v>4696.621784223993</v>
      </c>
      <c r="BC80" s="325">
        <f t="shared" si="302"/>
        <v>4839.1337013143821</v>
      </c>
      <c r="BD80" s="325">
        <f t="shared" si="302"/>
        <v>4981.6317552682594</v>
      </c>
      <c r="BE80" s="325">
        <f t="shared" si="302"/>
        <v>5124.1158767699199</v>
      </c>
      <c r="BF80" s="325">
        <f t="shared" si="302"/>
        <v>5266.5859961571459</v>
      </c>
      <c r="BG80" s="325">
        <f t="shared" si="302"/>
        <v>5409.0420434193147</v>
      </c>
      <c r="BH80" s="325">
        <f t="shared" si="302"/>
        <v>5551.4839481958043</v>
      </c>
      <c r="BI80" s="325">
        <f t="shared" si="302"/>
        <v>5693.91163977424</v>
      </c>
      <c r="BJ80" s="325">
        <f t="shared" si="302"/>
        <v>5836.3250470885887</v>
      </c>
      <c r="BK80" s="325">
        <f t="shared" si="238"/>
        <v>0</v>
      </c>
      <c r="BL80" s="464">
        <f>SUM(C80:N80)</f>
        <v>-194713.49562424241</v>
      </c>
      <c r="BM80" s="464">
        <f>SUM(O80:Z80)</f>
        <v>-76484.90408132023</v>
      </c>
      <c r="BN80" s="464">
        <f>SUM(AA80:AL80)</f>
        <v>-34310.083738757603</v>
      </c>
      <c r="BO80" s="464">
        <f>SUM(AM80:AX80)</f>
        <v>7163.1203905183384</v>
      </c>
      <c r="BP80" s="464">
        <f>SUM(AY80:BJ80)</f>
        <v>60633.508043481357</v>
      </c>
    </row>
    <row r="81" spans="1:68" ht="15.75">
      <c r="A81" s="321"/>
    </row>
    <row r="82" spans="1:68">
      <c r="A82" s="322" t="s">
        <v>454</v>
      </c>
      <c r="C82" s="259">
        <f>B5</f>
        <v>195765.96360390575</v>
      </c>
      <c r="D82" s="259">
        <f>C83</f>
        <v>130760.04646950167</v>
      </c>
      <c r="E82" s="259">
        <f t="shared" ref="E82:BJ82" si="303">D83</f>
        <v>98083.157410512911</v>
      </c>
      <c r="F82" s="259">
        <f t="shared" si="303"/>
        <v>87230.594176939427</v>
      </c>
      <c r="G82" s="259">
        <f t="shared" si="303"/>
        <v>76768.856768781232</v>
      </c>
      <c r="H82" s="259">
        <f t="shared" si="303"/>
        <v>66697.945186038312</v>
      </c>
      <c r="I82" s="259">
        <f t="shared" si="303"/>
        <v>57017.859428710733</v>
      </c>
      <c r="J82" s="259">
        <f t="shared" si="303"/>
        <v>46842.270098852707</v>
      </c>
      <c r="K82" s="259">
        <f t="shared" si="303"/>
        <v>37005.890404334728</v>
      </c>
      <c r="L82" s="259">
        <f t="shared" si="303"/>
        <v>27508.720345156791</v>
      </c>
      <c r="M82" s="259">
        <f t="shared" si="303"/>
        <v>18350.759921318924</v>
      </c>
      <c r="N82" s="259">
        <f t="shared" si="303"/>
        <v>9532.0091328211165</v>
      </c>
      <c r="O82" s="259">
        <f t="shared" si="303"/>
        <v>1052.4679796633409</v>
      </c>
      <c r="P82" s="259">
        <f t="shared" si="303"/>
        <v>-7087.8635381543627</v>
      </c>
      <c r="Q82" s="259">
        <f t="shared" si="303"/>
        <v>-14888.985420632009</v>
      </c>
      <c r="R82" s="259">
        <f t="shared" si="303"/>
        <v>-22350.897667769597</v>
      </c>
      <c r="S82" s="259">
        <f t="shared" si="303"/>
        <v>-29473.600279567152</v>
      </c>
      <c r="T82" s="259">
        <f t="shared" si="303"/>
        <v>-36257.093256024644</v>
      </c>
      <c r="U82" s="259">
        <f t="shared" si="303"/>
        <v>-42718.198796907142</v>
      </c>
      <c r="V82" s="259">
        <f t="shared" si="303"/>
        <v>-48891.075408161501</v>
      </c>
      <c r="W82" s="259">
        <f t="shared" si="303"/>
        <v>-54775.734790583534</v>
      </c>
      <c r="X82" s="259">
        <f t="shared" si="303"/>
        <v>-60372.18870347301</v>
      </c>
      <c r="Y82" s="259">
        <f t="shared" si="303"/>
        <v>-65680.448964926225</v>
      </c>
      <c r="Z82" s="259">
        <f t="shared" si="303"/>
        <v>-70700.527452129958</v>
      </c>
      <c r="AA82" s="259">
        <f t="shared" si="303"/>
        <v>-75432.436101656887</v>
      </c>
      <c r="AB82" s="259">
        <f t="shared" si="303"/>
        <v>-79876.186909762575</v>
      </c>
      <c r="AC82" s="259">
        <f t="shared" si="303"/>
        <v>-84031.791932683846</v>
      </c>
      <c r="AD82" s="259">
        <f t="shared" si="303"/>
        <v>-87899.263286938745</v>
      </c>
      <c r="AE82" s="259">
        <f t="shared" si="303"/>
        <v>-91478.613149627912</v>
      </c>
      <c r="AF82" s="259">
        <f t="shared" si="303"/>
        <v>-94769.853758737416</v>
      </c>
      <c r="AG82" s="259">
        <f t="shared" si="303"/>
        <v>-97772.997413443314</v>
      </c>
      <c r="AH82" s="259">
        <f t="shared" si="303"/>
        <v>-100488.05647441754</v>
      </c>
      <c r="AI82" s="259">
        <f t="shared" si="303"/>
        <v>-102915.04336413537</v>
      </c>
      <c r="AJ82" s="259">
        <f t="shared" si="303"/>
        <v>-105053.9705671845</v>
      </c>
      <c r="AK82" s="259">
        <f t="shared" si="303"/>
        <v>-106904.85063057551</v>
      </c>
      <c r="AL82" s="259">
        <f t="shared" si="303"/>
        <v>-108467.69616405405</v>
      </c>
      <c r="AM82" s="259">
        <f t="shared" si="303"/>
        <v>-109742.5198404145</v>
      </c>
      <c r="AN82" s="259">
        <f t="shared" si="303"/>
        <v>-110729.33439581524</v>
      </c>
      <c r="AO82" s="259">
        <f t="shared" si="303"/>
        <v>-111428.15263009538</v>
      </c>
      <c r="AP82" s="259">
        <f t="shared" si="303"/>
        <v>-111838.98740709329</v>
      </c>
      <c r="AQ82" s="259">
        <f t="shared" si="303"/>
        <v>-111961.85165496649</v>
      </c>
      <c r="AR82" s="259">
        <f t="shared" si="303"/>
        <v>-111796.7583665133</v>
      </c>
      <c r="AS82" s="259">
        <f t="shared" si="303"/>
        <v>-111343.72059949604</v>
      </c>
      <c r="AT82" s="259">
        <f t="shared" si="303"/>
        <v>-110602.75147696583</v>
      </c>
      <c r="AU82" s="259">
        <f t="shared" si="303"/>
        <v>-109573.86418758906</v>
      </c>
      <c r="AV82" s="259">
        <f t="shared" si="303"/>
        <v>-108257.07198597543</v>
      </c>
      <c r="AW82" s="259">
        <f t="shared" si="303"/>
        <v>-106652.38819300772</v>
      </c>
      <c r="AX82" s="259">
        <f t="shared" si="303"/>
        <v>-104759.82619617309</v>
      </c>
      <c r="AY82" s="259">
        <f t="shared" si="303"/>
        <v>-102579.39944989615</v>
      </c>
      <c r="AZ82" s="259">
        <f t="shared" si="303"/>
        <v>-98310.395907768165</v>
      </c>
      <c r="BA82" s="259">
        <f t="shared" si="303"/>
        <v>-93898.839271594348</v>
      </c>
      <c r="BB82" s="259">
        <f t="shared" si="303"/>
        <v>-89344.743198626442</v>
      </c>
      <c r="BC82" s="259">
        <f t="shared" si="303"/>
        <v>-84648.121414402442</v>
      </c>
      <c r="BD82" s="259">
        <f t="shared" si="303"/>
        <v>-79808.987713088063</v>
      </c>
      <c r="BE82" s="259">
        <f t="shared" si="303"/>
        <v>-74827.355957819804</v>
      </c>
      <c r="BF82" s="259">
        <f t="shared" si="303"/>
        <v>-69703.24008104988</v>
      </c>
      <c r="BG82" s="259">
        <f t="shared" si="303"/>
        <v>-64436.654084892732</v>
      </c>
      <c r="BH82" s="259">
        <f t="shared" si="303"/>
        <v>-59027.612041473418</v>
      </c>
      <c r="BI82" s="259">
        <f t="shared" si="303"/>
        <v>-53476.128093277614</v>
      </c>
      <c r="BJ82" s="259">
        <f t="shared" si="303"/>
        <v>-47782.216453503373</v>
      </c>
      <c r="BK82" s="259">
        <f t="shared" si="238"/>
        <v>0</v>
      </c>
      <c r="BL82" s="259">
        <f t="shared" si="239"/>
        <v>9532.0091328211165</v>
      </c>
      <c r="BM82" s="259">
        <f t="shared" si="240"/>
        <v>-70700.527452129958</v>
      </c>
      <c r="BN82" s="259">
        <f t="shared" si="241"/>
        <v>-108467.69616405405</v>
      </c>
      <c r="BO82" s="259">
        <f t="shared" si="242"/>
        <v>-104759.82619617309</v>
      </c>
      <c r="BP82" s="259">
        <f t="shared" si="243"/>
        <v>-47782.216453503373</v>
      </c>
    </row>
    <row r="83" spans="1:68">
      <c r="A83" s="322" t="s">
        <v>455</v>
      </c>
      <c r="B83" s="255"/>
      <c r="C83" s="259">
        <f>C82+C80</f>
        <v>130760.04646950167</v>
      </c>
      <c r="D83" s="259">
        <f>D82+D80</f>
        <v>98083.157410512911</v>
      </c>
      <c r="E83" s="259">
        <f t="shared" ref="E83:N83" si="304">E82+E80</f>
        <v>87230.594176939427</v>
      </c>
      <c r="F83" s="259">
        <f t="shared" si="304"/>
        <v>76768.856768781232</v>
      </c>
      <c r="G83" s="259">
        <f t="shared" si="304"/>
        <v>66697.945186038312</v>
      </c>
      <c r="H83" s="259">
        <f t="shared" si="304"/>
        <v>57017.859428710733</v>
      </c>
      <c r="I83" s="259">
        <f t="shared" si="304"/>
        <v>46842.270098852707</v>
      </c>
      <c r="J83" s="259">
        <f t="shared" si="304"/>
        <v>37005.890404334728</v>
      </c>
      <c r="K83" s="259">
        <f t="shared" si="304"/>
        <v>27508.720345156791</v>
      </c>
      <c r="L83" s="259">
        <f t="shared" si="304"/>
        <v>18350.759921318924</v>
      </c>
      <c r="M83" s="259">
        <f t="shared" si="304"/>
        <v>9532.0091328211165</v>
      </c>
      <c r="N83" s="259">
        <f t="shared" si="304"/>
        <v>1052.4679796633409</v>
      </c>
      <c r="O83" s="259">
        <f t="shared" ref="O83" si="305">O82+O80</f>
        <v>-7087.8635381543627</v>
      </c>
      <c r="P83" s="259">
        <f t="shared" ref="P83" si="306">P82+P80</f>
        <v>-14888.985420632009</v>
      </c>
      <c r="Q83" s="259">
        <f t="shared" ref="Q83" si="307">Q82+Q80</f>
        <v>-22350.897667769597</v>
      </c>
      <c r="R83" s="259">
        <f t="shared" ref="R83" si="308">R82+R80</f>
        <v>-29473.600279567152</v>
      </c>
      <c r="S83" s="259">
        <f t="shared" ref="S83" si="309">S82+S80</f>
        <v>-36257.093256024644</v>
      </c>
      <c r="T83" s="259">
        <f t="shared" ref="T83" si="310">T82+T80</f>
        <v>-42718.198796907142</v>
      </c>
      <c r="U83" s="259">
        <f t="shared" ref="U83" si="311">U82+U80</f>
        <v>-48891.075408161501</v>
      </c>
      <c r="V83" s="259">
        <f t="shared" ref="V83" si="312">V82+V80</f>
        <v>-54775.734790583534</v>
      </c>
      <c r="W83" s="259">
        <f t="shared" ref="W83" si="313">W82+W80</f>
        <v>-60372.18870347301</v>
      </c>
      <c r="X83" s="259">
        <f t="shared" ref="X83" si="314">X82+X80</f>
        <v>-65680.448964926225</v>
      </c>
      <c r="Y83" s="259">
        <f t="shared" ref="Y83" si="315">Y82+Y80</f>
        <v>-70700.527452129958</v>
      </c>
      <c r="Z83" s="259">
        <f t="shared" ref="Z83" si="316">Z82+Z80</f>
        <v>-75432.436101656887</v>
      </c>
      <c r="AA83" s="259">
        <f t="shared" ref="AA83" si="317">AA82+AA80</f>
        <v>-79876.186909762575</v>
      </c>
      <c r="AB83" s="259">
        <f t="shared" ref="AB83" si="318">AB82+AB80</f>
        <v>-84031.791932683846</v>
      </c>
      <c r="AC83" s="259">
        <f t="shared" ref="AC83" si="319">AC82+AC80</f>
        <v>-87899.263286938745</v>
      </c>
      <c r="AD83" s="259">
        <f t="shared" ref="AD83" si="320">AD82+AD80</f>
        <v>-91478.613149627912</v>
      </c>
      <c r="AE83" s="259">
        <f t="shared" ref="AE83" si="321">AE82+AE80</f>
        <v>-94769.853758737416</v>
      </c>
      <c r="AF83" s="259">
        <f t="shared" ref="AF83" si="322">AF82+AF80</f>
        <v>-97772.997413443314</v>
      </c>
      <c r="AG83" s="259">
        <f t="shared" ref="AG83" si="323">AG82+AG80</f>
        <v>-100488.05647441754</v>
      </c>
      <c r="AH83" s="259">
        <f t="shared" ref="AH83" si="324">AH82+AH80</f>
        <v>-102915.04336413537</v>
      </c>
      <c r="AI83" s="259">
        <f t="shared" ref="AI83" si="325">AI82+AI80</f>
        <v>-105053.9705671845</v>
      </c>
      <c r="AJ83" s="259">
        <f t="shared" ref="AJ83" si="326">AJ82+AJ80</f>
        <v>-106904.85063057551</v>
      </c>
      <c r="AK83" s="259">
        <f t="shared" ref="AK83" si="327">AK82+AK80</f>
        <v>-108467.69616405405</v>
      </c>
      <c r="AL83" s="259">
        <f t="shared" ref="AL83" si="328">AL82+AL80</f>
        <v>-109742.5198404145</v>
      </c>
      <c r="AM83" s="259">
        <f t="shared" ref="AM83" si="329">AM82+AM80</f>
        <v>-110729.33439581524</v>
      </c>
      <c r="AN83" s="259">
        <f t="shared" ref="AN83" si="330">AN82+AN80</f>
        <v>-111428.15263009538</v>
      </c>
      <c r="AO83" s="259">
        <f t="shared" ref="AO83" si="331">AO82+AO80</f>
        <v>-111838.98740709329</v>
      </c>
      <c r="AP83" s="259">
        <f t="shared" ref="AP83" si="332">AP82+AP80</f>
        <v>-111961.85165496649</v>
      </c>
      <c r="AQ83" s="259">
        <f t="shared" ref="AQ83" si="333">AQ82+AQ80</f>
        <v>-111796.7583665133</v>
      </c>
      <c r="AR83" s="259">
        <f t="shared" ref="AR83" si="334">AR82+AR80</f>
        <v>-111343.72059949604</v>
      </c>
      <c r="AS83" s="259">
        <f t="shared" ref="AS83" si="335">AS82+AS80</f>
        <v>-110602.75147696583</v>
      </c>
      <c r="AT83" s="259">
        <f t="shared" ref="AT83" si="336">AT82+AT80</f>
        <v>-109573.86418758906</v>
      </c>
      <c r="AU83" s="259">
        <f t="shared" ref="AU83" si="337">AU82+AU80</f>
        <v>-108257.07198597543</v>
      </c>
      <c r="AV83" s="259">
        <f t="shared" ref="AV83" si="338">AV82+AV80</f>
        <v>-106652.38819300772</v>
      </c>
      <c r="AW83" s="259">
        <f t="shared" ref="AW83" si="339">AW82+AW80</f>
        <v>-104759.82619617309</v>
      </c>
      <c r="AX83" s="259">
        <f t="shared" ref="AX83" si="340">AX82+AX80</f>
        <v>-102579.39944989615</v>
      </c>
      <c r="AY83" s="259">
        <f t="shared" ref="AY83" si="341">AY82+AY80</f>
        <v>-98310.395907768165</v>
      </c>
      <c r="AZ83" s="259">
        <f t="shared" ref="AZ83" si="342">AZ82+AZ80</f>
        <v>-93898.839271594348</v>
      </c>
      <c r="BA83" s="259">
        <f t="shared" ref="BA83" si="343">BA82+BA80</f>
        <v>-89344.743198626442</v>
      </c>
      <c r="BB83" s="259">
        <f t="shared" ref="BB83" si="344">BB82+BB80</f>
        <v>-84648.121414402442</v>
      </c>
      <c r="BC83" s="259">
        <f t="shared" ref="BC83" si="345">BC82+BC80</f>
        <v>-79808.987713088063</v>
      </c>
      <c r="BD83" s="259">
        <f t="shared" ref="BD83" si="346">BD82+BD80</f>
        <v>-74827.355957819804</v>
      </c>
      <c r="BE83" s="259">
        <f t="shared" ref="BE83" si="347">BE82+BE80</f>
        <v>-69703.24008104988</v>
      </c>
      <c r="BF83" s="259">
        <f t="shared" ref="BF83" si="348">BF82+BF80</f>
        <v>-64436.654084892732</v>
      </c>
      <c r="BG83" s="259">
        <f t="shared" ref="BG83" si="349">BG82+BG80</f>
        <v>-59027.612041473418</v>
      </c>
      <c r="BH83" s="259">
        <f t="shared" ref="BH83" si="350">BH82+BH80</f>
        <v>-53476.128093277614</v>
      </c>
      <c r="BI83" s="259">
        <f t="shared" ref="BI83" si="351">BI82+BI80</f>
        <v>-47782.216453503373</v>
      </c>
      <c r="BJ83" s="259">
        <f t="shared" ref="BJ83" si="352">BJ82+BJ80</f>
        <v>-41945.891406414783</v>
      </c>
      <c r="BK83" s="259">
        <f t="shared" si="238"/>
        <v>0</v>
      </c>
      <c r="BL83" s="259">
        <f t="shared" si="239"/>
        <v>1052.4679796633409</v>
      </c>
      <c r="BM83" s="259">
        <f t="shared" si="240"/>
        <v>-75432.436101656887</v>
      </c>
      <c r="BN83" s="259">
        <f t="shared" si="241"/>
        <v>-109742.5198404145</v>
      </c>
      <c r="BO83" s="259">
        <f t="shared" si="242"/>
        <v>-102579.39944989615</v>
      </c>
      <c r="BP83" s="259">
        <f t="shared" si="243"/>
        <v>-41945.891406414783</v>
      </c>
    </row>
    <row r="88" spans="1:68">
      <c r="A88" t="s">
        <v>515</v>
      </c>
      <c r="B88">
        <f>(B5/('Income Statement Projections'!B55+'Income Statement Projections'!B105))*30</f>
        <v>94.74823764486996</v>
      </c>
      <c r="C88" s="258">
        <f>(C83/('Income Statement Projections'!B55+'Income Statement Projections'!B105))*30</f>
        <v>63.286200160993673</v>
      </c>
      <c r="D88" s="258">
        <f>(D83/('Income Statement Projections'!C55+'Income Statement Projections'!C105))*30</f>
        <v>106.18190288041599</v>
      </c>
      <c r="E88" s="258">
        <f>(E83/('Income Statement Projections'!D55+'Income Statement Projections'!D105))*30</f>
        <v>89.204820050389344</v>
      </c>
      <c r="F88" s="258">
        <f>(F83/('Income Statement Projections'!E55+'Income Statement Projections'!E105))*30</f>
        <v>74.387734509934631</v>
      </c>
      <c r="G88" s="258">
        <f>(G83/('Income Statement Projections'!F55+'Income Statement Projections'!F105))*30</f>
        <v>61.407640247429953</v>
      </c>
      <c r="H88" s="258">
        <f>(H83/('Income Statement Projections'!G55+'Income Statement Projections'!G105))*30</f>
        <v>50.002876490737087</v>
      </c>
      <c r="I88" s="258">
        <f>(I83/('Income Statement Projections'!H55+'Income Statement Projections'!H105))*30</f>
        <v>39.217173897114314</v>
      </c>
      <c r="J88" s="258">
        <f>(J83/('Income Statement Projections'!I55+'Income Statement Projections'!I105))*30</f>
        <v>29.638534227231567</v>
      </c>
      <c r="K88" s="258">
        <f>(K83/('Income Statement Projections'!J55+'Income Statement Projections'!J105))*30</f>
        <v>21.116460395765881</v>
      </c>
      <c r="L88" s="258">
        <f>(L83/('Income Statement Projections'!K55+'Income Statement Projections'!K105))*30</f>
        <v>13.524475740676843</v>
      </c>
      <c r="M88" s="258">
        <f>(M83/('Income Statement Projections'!L55+'Income Statement Projections'!L105))*30</f>
        <v>6.7555156154067877</v>
      </c>
      <c r="N88" s="258">
        <f>(N83/('Income Statement Projections'!M55+'Income Statement Projections'!M105))*30</f>
        <v>0.71834074356264976</v>
      </c>
      <c r="O88" s="258">
        <f>(O83/('Income Statement Projections'!N55+'Income Statement Projections'!N105))*30</f>
        <v>-4.6652825445233166</v>
      </c>
      <c r="P88" s="258">
        <f>(P83/('Income Statement Projections'!O55+'Income Statement Projections'!O105))*30</f>
        <v>-9.4628199109110618</v>
      </c>
      <c r="Q88" s="258">
        <f>(Q83/('Income Statement Projections'!P55+'Income Statement Projections'!P105))*30</f>
        <v>-13.732760005196653</v>
      </c>
      <c r="R88" s="258">
        <f>(R83/('Income Statement Projections'!Q55+'Income Statement Projections'!Q105))*30</f>
        <v>-17.526059502003967</v>
      </c>
      <c r="S88" s="258">
        <f>(S83/('Income Statement Projections'!R55+'Income Statement Projections'!R105))*30</f>
        <v>-20.887317713845992</v>
      </c>
      <c r="T88" s="258">
        <f>(T83/('Income Statement Projections'!S55+'Income Statement Projections'!S105))*30</f>
        <v>-23.865135999199232</v>
      </c>
      <c r="U88" s="258">
        <f>(U83/('Income Statement Projections'!T55+'Income Statement Projections'!T105))*30</f>
        <v>-26.511809070089832</v>
      </c>
      <c r="V88" s="258">
        <f>(V83/('Income Statement Projections'!U55+'Income Statement Projections'!U105))*30</f>
        <v>-28.855677162013581</v>
      </c>
      <c r="W88" s="258">
        <f>(W83/('Income Statement Projections'!V55+'Income Statement Projections'!V105))*30</f>
        <v>-30.921936997424787</v>
      </c>
      <c r="X88" s="258">
        <f>(X83/('Income Statement Projections'!W55+'Income Statement Projections'!W105))*30</f>
        <v>-32.733065879788796</v>
      </c>
      <c r="Y88" s="258">
        <f>(Y83/('Income Statement Projections'!X55+'Income Statement Projections'!X105))*30</f>
        <v>-34.309178933651076</v>
      </c>
      <c r="Z88" s="258">
        <f>(Z83/('Income Statement Projections'!Y55+'Income Statement Projections'!Y105))*30</f>
        <v>-35.668331471257133</v>
      </c>
      <c r="AA88" s="258">
        <f>(AA83/('Income Statement Projections'!Z55+'Income Statement Projections'!Z105))*30</f>
        <v>-36.826776073829961</v>
      </c>
      <c r="AB88" s="258">
        <f>(AB83/('Income Statement Projections'!AA55+'Income Statement Projections'!AA105))*30</f>
        <v>-37.799182107565038</v>
      </c>
      <c r="AC88" s="258">
        <f>(AC83/('Income Statement Projections'!AB55+'Income Statement Projections'!AB105))*30</f>
        <v>-38.598823926065599</v>
      </c>
      <c r="AD88" s="258">
        <f>(AD83/('Income Statement Projections'!AC55+'Income Statement Projections'!AC105))*30</f>
        <v>-39.237742849491966</v>
      </c>
      <c r="AE88" s="258">
        <f>(AE83/('Income Statement Projections'!AD55+'Income Statement Projections'!AD105))*30</f>
        <v>-39.726887086486016</v>
      </c>
      <c r="AF88" s="258">
        <f>(AF83/('Income Statement Projections'!AE55+'Income Statement Projections'!AE105))*30</f>
        <v>-40.076233025310479</v>
      </c>
      <c r="AG88" s="258">
        <f>(AG83/('Income Statement Projections'!AF55+'Income Statement Projections'!AF105))*30</f>
        <v>-40.29489072553595</v>
      </c>
      <c r="AH88" s="258">
        <f>(AH83/('Income Statement Projections'!AG55+'Income Statement Projections'!AG105))*30</f>
        <v>-40.391195960309169</v>
      </c>
      <c r="AI88" s="258">
        <f>(AI83/('Income Statement Projections'!AH55+'Income Statement Projections'!AH105))*30</f>
        <v>-40.372790768065691</v>
      </c>
      <c r="AJ88" s="258">
        <f>(AJ83/('Income Statement Projections'!AI55+'Income Statement Projections'!AI105))*30</f>
        <v>-40.246694153136545</v>
      </c>
      <c r="AK88" s="258">
        <f>(AK83/('Income Statement Projections'!AJ55+'Income Statement Projections'!AJ105))*30</f>
        <v>-40.01936431270871</v>
      </c>
      <c r="AL88" s="258">
        <f>(AL83/('Income Statement Projections'!AK55+'Income Statement Projections'!AK105))*30</f>
        <v>-39.696753551787772</v>
      </c>
      <c r="AM88" s="258">
        <f>(AM83/('Income Statement Projections'!AL55+'Income Statement Projections'!AL105))*30</f>
        <v>-39.284356869306826</v>
      </c>
      <c r="AN88" s="258">
        <f>(AN83/('Income Statement Projections'!AM55+'Income Statement Projections'!AM105))*30</f>
        <v>-38.787255050299045</v>
      </c>
      <c r="AO88" s="258">
        <f>(AO83/('Income Statement Projections'!AN55+'Income Statement Projections'!AN105))*30</f>
        <v>-38.210152975500172</v>
      </c>
      <c r="AP88" s="258">
        <f>(AP83/('Income Statement Projections'!AO55+'Income Statement Projections'!AO105))*30</f>
        <v>-37.557413756391796</v>
      </c>
      <c r="AQ88" s="258">
        <f>(AQ83/('Income Statement Projections'!AP55+'Income Statement Projections'!AP105))*30</f>
        <v>-36.833089216932493</v>
      </c>
      <c r="AR88" s="258">
        <f>(AR83/('Income Statement Projections'!AQ55+'Income Statement Projections'!AQ105))*30</f>
        <v>-36.040947170145614</v>
      </c>
      <c r="AS88" s="258">
        <f>(AS83/('Income Statement Projections'!AR55+'Income Statement Projections'!AR105))*30</f>
        <v>-35.184495875981426</v>
      </c>
      <c r="AT88" s="258">
        <f>(AT83/('Income Statement Projections'!AS55+'Income Statement Projections'!AS105))*30</f>
        <v>-34.267006014530359</v>
      </c>
      <c r="AU88" s="258">
        <f>(AU83/('Income Statement Projections'!AT55+'Income Statement Projections'!AT105))*30</f>
        <v>-33.2915304641662</v>
      </c>
      <c r="AV88" s="258">
        <f>(AV83/('Income Statement Projections'!AU55+'Income Statement Projections'!AU105))*30</f>
        <v>-32.260922136258557</v>
      </c>
      <c r="AW88" s="258">
        <f>(AW83/('Income Statement Projections'!AV55+'Income Statement Projections'!AV105))*30</f>
        <v>-31.177850085656932</v>
      </c>
      <c r="AX88" s="258">
        <f>(AX83/('Income Statement Projections'!AW55+'Income Statement Projections'!AW105))*30</f>
        <v>-30.044814088340235</v>
      </c>
      <c r="AY88" s="258">
        <f>(AY83/('Income Statement Projections'!AX55+'Income Statement Projections'!AX105))*30</f>
        <v>-28.567943232542262</v>
      </c>
      <c r="AZ88" s="258">
        <f>(AZ83/('Income Statement Projections'!AY55+'Income Statement Projections'!AY105))*30</f>
        <v>-27.073025244952312</v>
      </c>
      <c r="BA88" s="258">
        <f>(BA83/('Income Statement Projections'!AZ55+'Income Statement Projections'!AZ105))*30</f>
        <v>-25.560483333554664</v>
      </c>
      <c r="BB88" s="258">
        <f>(BB83/('Income Statement Projections'!BA55+'Income Statement Projections'!BA105))*30</f>
        <v>-24.030727716248414</v>
      </c>
      <c r="BC88" s="258">
        <f>(BC83/('Income Statement Projections'!BB55+'Income Statement Projections'!BB105))*30</f>
        <v>-22.484156116283145</v>
      </c>
      <c r="BD88" s="258">
        <f>(BD83/('Income Statement Projections'!BC55+'Income Statement Projections'!BC105))*30</f>
        <v>-20.921154235196315</v>
      </c>
      <c r="BE88" s="258">
        <f>(BE83/('Income Statement Projections'!BD55+'Income Statement Projections'!BD105))*30</f>
        <v>-19.342096204435293</v>
      </c>
      <c r="BF88" s="258">
        <f>(BF83/('Income Statement Projections'!BE55+'Income Statement Projections'!BE105))*30</f>
        <v>-17.747345016776542</v>
      </c>
      <c r="BG88" s="258">
        <f>(BG83/('Income Statement Projections'!BF55+'Income Statement Projections'!BF105))*30</f>
        <v>-16.137252938588546</v>
      </c>
      <c r="BH88" s="258">
        <f>(BH83/('Income Statement Projections'!BG55+'Income Statement Projections'!BG105))*30</f>
        <v>-14.512161903923598</v>
      </c>
      <c r="BI88" s="258">
        <f>(BI83/('Income Statement Projections'!BH55+'Income Statement Projections'!BH105))*30</f>
        <v>-12.872403891366025</v>
      </c>
      <c r="BJ88" s="258">
        <f>(BJ83/('Income Statement Projections'!BI55+'Income Statement Projections'!BI105))*30</f>
        <v>-11.218301284510781</v>
      </c>
      <c r="BK88" s="259">
        <f t="shared" ref="BK88" si="353">B88</f>
        <v>94.74823764486996</v>
      </c>
      <c r="BL88" s="259">
        <f t="shared" ref="BL88" si="354">N88</f>
        <v>0.71834074356264976</v>
      </c>
      <c r="BM88" s="259">
        <f t="shared" ref="BM88" si="355">Z88</f>
        <v>-35.668331471257133</v>
      </c>
      <c r="BN88" s="259">
        <f t="shared" ref="BN88" si="356">AL88</f>
        <v>-39.696753551787772</v>
      </c>
      <c r="BO88" s="259">
        <f t="shared" ref="BO88" si="357">AX88</f>
        <v>-30.044814088340235</v>
      </c>
      <c r="BP88" s="259">
        <f t="shared" ref="BP88" si="358">BJ88</f>
        <v>-11.218301284510781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99FF"/>
  </sheetPr>
  <dimension ref="A1:CA283"/>
  <sheetViews>
    <sheetView zoomScale="99" zoomScaleNormal="99" workbookViewId="0">
      <pane xSplit="1" ySplit="3" topLeftCell="B88" activePane="bottomRight" state="frozen"/>
      <selection activeCell="BL5" sqref="BL5"/>
      <selection pane="topRight" activeCell="BL5" sqref="BL5"/>
      <selection pane="bottomLeft" activeCell="BL5" sqref="BL5"/>
      <selection pane="bottomRight" activeCell="BL5" sqref="BL5"/>
    </sheetView>
  </sheetViews>
  <sheetFormatPr defaultColWidth="8.7109375" defaultRowHeight="15"/>
  <cols>
    <col min="1" max="1" width="28.28515625" style="117" customWidth="1"/>
    <col min="2" max="2" width="10.140625" style="125" bestFit="1" customWidth="1"/>
    <col min="3" max="35" width="10.140625" style="117" bestFit="1" customWidth="1"/>
    <col min="36" max="61" width="11.140625" style="117" bestFit="1" customWidth="1"/>
    <col min="62" max="62" width="9.5703125" style="117" customWidth="1"/>
    <col min="63" max="63" width="11.42578125" style="125" bestFit="1" customWidth="1"/>
    <col min="64" max="68" width="11.42578125" style="125" customWidth="1"/>
    <col min="69" max="69" width="11.42578125" style="399" bestFit="1" customWidth="1"/>
    <col min="70" max="73" width="11.42578125" style="399" customWidth="1"/>
    <col min="74" max="74" width="9.85546875" style="126" customWidth="1"/>
    <col min="75" max="77" width="8.7109375" style="117"/>
    <col min="78" max="78" width="9.140625" style="117" bestFit="1" customWidth="1"/>
    <col min="79" max="79" width="11.140625" style="117" bestFit="1" customWidth="1"/>
    <col min="80" max="16384" width="8.7109375" style="117"/>
  </cols>
  <sheetData>
    <row r="1" spans="1:74">
      <c r="BK1" s="162"/>
      <c r="BL1" s="162"/>
      <c r="BM1" s="162"/>
      <c r="BN1" s="162"/>
      <c r="BO1" s="162"/>
      <c r="BP1" s="162"/>
      <c r="BQ1" s="394"/>
      <c r="BR1" s="394"/>
      <c r="BS1" s="394"/>
      <c r="BT1" s="394"/>
      <c r="BU1" s="394"/>
      <c r="BV1" s="136"/>
    </row>
    <row r="2" spans="1:74">
      <c r="A2" s="75" t="s">
        <v>115</v>
      </c>
      <c r="B2" s="76"/>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162"/>
      <c r="BL2" s="162"/>
      <c r="BM2" s="162"/>
      <c r="BN2" s="162"/>
      <c r="BO2" s="162"/>
      <c r="BP2" s="162"/>
      <c r="BQ2" s="394"/>
      <c r="BR2" s="394"/>
      <c r="BS2" s="394"/>
      <c r="BT2" s="394"/>
      <c r="BU2" s="394"/>
      <c r="BV2" s="136"/>
    </row>
    <row r="3" spans="1:74">
      <c r="A3" s="71" t="s">
        <v>36</v>
      </c>
      <c r="B3" s="72" t="s">
        <v>37</v>
      </c>
      <c r="C3" s="73" t="s">
        <v>38</v>
      </c>
      <c r="D3" s="73" t="s">
        <v>39</v>
      </c>
      <c r="E3" s="73" t="s">
        <v>40</v>
      </c>
      <c r="F3" s="73" t="s">
        <v>41</v>
      </c>
      <c r="G3" s="73" t="s">
        <v>42</v>
      </c>
      <c r="H3" s="73" t="s">
        <v>43</v>
      </c>
      <c r="I3" s="73" t="s">
        <v>44</v>
      </c>
      <c r="J3" s="73" t="s">
        <v>45</v>
      </c>
      <c r="K3" s="73" t="s">
        <v>46</v>
      </c>
      <c r="L3" s="73" t="s">
        <v>47</v>
      </c>
      <c r="M3" s="74" t="s">
        <v>48</v>
      </c>
      <c r="N3" s="74" t="s">
        <v>371</v>
      </c>
      <c r="O3" s="74" t="s">
        <v>372</v>
      </c>
      <c r="P3" s="74" t="s">
        <v>373</v>
      </c>
      <c r="Q3" s="74" t="s">
        <v>374</v>
      </c>
      <c r="R3" s="74" t="s">
        <v>375</v>
      </c>
      <c r="S3" s="74" t="s">
        <v>376</v>
      </c>
      <c r="T3" s="74" t="s">
        <v>377</v>
      </c>
      <c r="U3" s="74" t="s">
        <v>378</v>
      </c>
      <c r="V3" s="74" t="s">
        <v>379</v>
      </c>
      <c r="W3" s="74" t="s">
        <v>380</v>
      </c>
      <c r="X3" s="74" t="s">
        <v>381</v>
      </c>
      <c r="Y3" s="74" t="s">
        <v>382</v>
      </c>
      <c r="Z3" s="74" t="s">
        <v>383</v>
      </c>
      <c r="AA3" s="74" t="s">
        <v>384</v>
      </c>
      <c r="AB3" s="74" t="s">
        <v>385</v>
      </c>
      <c r="AC3" s="74" t="s">
        <v>386</v>
      </c>
      <c r="AD3" s="74" t="s">
        <v>387</v>
      </c>
      <c r="AE3" s="74" t="s">
        <v>388</v>
      </c>
      <c r="AF3" s="74" t="s">
        <v>389</v>
      </c>
      <c r="AG3" s="74" t="s">
        <v>390</v>
      </c>
      <c r="AH3" s="74" t="s">
        <v>391</v>
      </c>
      <c r="AI3" s="74" t="s">
        <v>392</v>
      </c>
      <c r="AJ3" s="74" t="s">
        <v>393</v>
      </c>
      <c r="AK3" s="74" t="s">
        <v>394</v>
      </c>
      <c r="AL3" s="74" t="s">
        <v>395</v>
      </c>
      <c r="AM3" s="74" t="s">
        <v>396</v>
      </c>
      <c r="AN3" s="74" t="s">
        <v>397</v>
      </c>
      <c r="AO3" s="74" t="s">
        <v>398</v>
      </c>
      <c r="AP3" s="74" t="s">
        <v>399</v>
      </c>
      <c r="AQ3" s="74" t="s">
        <v>400</v>
      </c>
      <c r="AR3" s="74" t="s">
        <v>401</v>
      </c>
      <c r="AS3" s="74" t="s">
        <v>402</v>
      </c>
      <c r="AT3" s="74" t="s">
        <v>403</v>
      </c>
      <c r="AU3" s="74" t="s">
        <v>404</v>
      </c>
      <c r="AV3" s="74" t="s">
        <v>405</v>
      </c>
      <c r="AW3" s="74" t="s">
        <v>406</v>
      </c>
      <c r="AX3" s="74" t="s">
        <v>407</v>
      </c>
      <c r="AY3" s="74" t="s">
        <v>408</v>
      </c>
      <c r="AZ3" s="74" t="s">
        <v>409</v>
      </c>
      <c r="BA3" s="74" t="s">
        <v>410</v>
      </c>
      <c r="BB3" s="74" t="s">
        <v>411</v>
      </c>
      <c r="BC3" s="74" t="s">
        <v>412</v>
      </c>
      <c r="BD3" s="74" t="s">
        <v>413</v>
      </c>
      <c r="BE3" s="74" t="s">
        <v>414</v>
      </c>
      <c r="BF3" s="74" t="s">
        <v>415</v>
      </c>
      <c r="BG3" s="74" t="s">
        <v>416</v>
      </c>
      <c r="BH3" s="74" t="s">
        <v>417</v>
      </c>
      <c r="BI3" s="74" t="s">
        <v>418</v>
      </c>
      <c r="BJ3" s="202"/>
      <c r="BK3" s="163" t="s">
        <v>31</v>
      </c>
      <c r="BL3" s="359" t="s">
        <v>32</v>
      </c>
      <c r="BM3" s="359" t="s">
        <v>33</v>
      </c>
      <c r="BN3" s="359" t="s">
        <v>34</v>
      </c>
      <c r="BO3" s="359" t="s">
        <v>35</v>
      </c>
      <c r="BP3" s="359"/>
      <c r="BQ3" s="395" t="s">
        <v>31</v>
      </c>
      <c r="BR3" s="396" t="s">
        <v>32</v>
      </c>
      <c r="BS3" s="396" t="s">
        <v>33</v>
      </c>
      <c r="BT3" s="396" t="s">
        <v>34</v>
      </c>
      <c r="BU3" s="396" t="s">
        <v>35</v>
      </c>
      <c r="BV3" s="136"/>
    </row>
    <row r="4" spans="1:74">
      <c r="A4" s="71"/>
      <c r="B4" s="201"/>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163"/>
      <c r="BL4" s="359"/>
      <c r="BM4" s="359"/>
      <c r="BN4" s="359"/>
      <c r="BO4" s="359"/>
      <c r="BP4" s="359"/>
      <c r="BQ4" s="395"/>
      <c r="BR4" s="396"/>
      <c r="BS4" s="396"/>
      <c r="BT4" s="396"/>
      <c r="BU4" s="396"/>
      <c r="BV4" s="136"/>
    </row>
    <row r="5" spans="1:74">
      <c r="A5" s="71" t="s">
        <v>207</v>
      </c>
      <c r="B5" s="201"/>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163"/>
      <c r="BL5" s="359"/>
      <c r="BM5" s="359"/>
      <c r="BN5" s="359"/>
      <c r="BO5" s="359"/>
      <c r="BP5" s="359"/>
      <c r="BQ5" s="395"/>
      <c r="BR5" s="396"/>
      <c r="BS5" s="396"/>
      <c r="BT5" s="396"/>
      <c r="BU5" s="396"/>
      <c r="BV5" s="136"/>
    </row>
    <row r="6" spans="1:74">
      <c r="A6" s="133" t="s">
        <v>64</v>
      </c>
      <c r="B6" s="201"/>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163"/>
      <c r="BL6" s="359"/>
      <c r="BM6" s="359"/>
      <c r="BN6" s="359"/>
      <c r="BO6" s="359"/>
      <c r="BP6" s="359"/>
      <c r="BQ6" s="395"/>
      <c r="BR6" s="396"/>
      <c r="BS6" s="396"/>
      <c r="BT6" s="396"/>
      <c r="BU6" s="396"/>
      <c r="BV6" s="136"/>
    </row>
    <row r="7" spans="1:74">
      <c r="A7" s="260" t="s">
        <v>208</v>
      </c>
      <c r="B7" s="203">
        <f>'Data Entry'!$D$34</f>
        <v>0</v>
      </c>
      <c r="C7" s="204">
        <f>B9</f>
        <v>0</v>
      </c>
      <c r="D7" s="204">
        <f t="shared" ref="D7:M7" si="0">C9</f>
        <v>0</v>
      </c>
      <c r="E7" s="204">
        <f t="shared" si="0"/>
        <v>0</v>
      </c>
      <c r="F7" s="204">
        <f t="shared" si="0"/>
        <v>0</v>
      </c>
      <c r="G7" s="204">
        <f t="shared" si="0"/>
        <v>0</v>
      </c>
      <c r="H7" s="204">
        <f t="shared" si="0"/>
        <v>0</v>
      </c>
      <c r="I7" s="204">
        <f t="shared" si="0"/>
        <v>0</v>
      </c>
      <c r="J7" s="204">
        <f t="shared" si="0"/>
        <v>0</v>
      </c>
      <c r="K7" s="204">
        <f t="shared" si="0"/>
        <v>0</v>
      </c>
      <c r="L7" s="204">
        <f t="shared" si="0"/>
        <v>0</v>
      </c>
      <c r="M7" s="204">
        <f t="shared" si="0"/>
        <v>0</v>
      </c>
      <c r="N7" s="204">
        <f t="shared" ref="N7:AN7" si="1">M9</f>
        <v>0</v>
      </c>
      <c r="O7" s="204">
        <f t="shared" si="1"/>
        <v>0</v>
      </c>
      <c r="P7" s="204">
        <f t="shared" si="1"/>
        <v>0</v>
      </c>
      <c r="Q7" s="204">
        <f t="shared" si="1"/>
        <v>0</v>
      </c>
      <c r="R7" s="204">
        <f t="shared" si="1"/>
        <v>0</v>
      </c>
      <c r="S7" s="204">
        <f t="shared" si="1"/>
        <v>0</v>
      </c>
      <c r="T7" s="204">
        <f t="shared" si="1"/>
        <v>0</v>
      </c>
      <c r="U7" s="204">
        <f t="shared" si="1"/>
        <v>0</v>
      </c>
      <c r="V7" s="204">
        <f t="shared" si="1"/>
        <v>0</v>
      </c>
      <c r="W7" s="204">
        <f t="shared" si="1"/>
        <v>0</v>
      </c>
      <c r="X7" s="204">
        <f t="shared" si="1"/>
        <v>0</v>
      </c>
      <c r="Y7" s="204">
        <f t="shared" si="1"/>
        <v>0</v>
      </c>
      <c r="Z7" s="204">
        <f t="shared" si="1"/>
        <v>0</v>
      </c>
      <c r="AA7" s="204">
        <f t="shared" si="1"/>
        <v>0</v>
      </c>
      <c r="AB7" s="204">
        <f t="shared" si="1"/>
        <v>0</v>
      </c>
      <c r="AC7" s="204">
        <f t="shared" si="1"/>
        <v>0</v>
      </c>
      <c r="AD7" s="204">
        <f t="shared" si="1"/>
        <v>0</v>
      </c>
      <c r="AE7" s="204">
        <f t="shared" si="1"/>
        <v>0</v>
      </c>
      <c r="AF7" s="204">
        <f t="shared" si="1"/>
        <v>0</v>
      </c>
      <c r="AG7" s="204">
        <f t="shared" si="1"/>
        <v>0</v>
      </c>
      <c r="AH7" s="204">
        <f t="shared" si="1"/>
        <v>0</v>
      </c>
      <c r="AI7" s="204">
        <f t="shared" si="1"/>
        <v>0</v>
      </c>
      <c r="AJ7" s="204">
        <f t="shared" si="1"/>
        <v>0</v>
      </c>
      <c r="AK7" s="204">
        <f t="shared" si="1"/>
        <v>0</v>
      </c>
      <c r="AL7" s="204">
        <f t="shared" si="1"/>
        <v>0</v>
      </c>
      <c r="AM7" s="204">
        <f t="shared" si="1"/>
        <v>0</v>
      </c>
      <c r="AN7" s="204">
        <f t="shared" si="1"/>
        <v>0</v>
      </c>
      <c r="AO7" s="204">
        <f t="shared" ref="AO7:BI7" si="2">AN9</f>
        <v>0</v>
      </c>
      <c r="AP7" s="204">
        <f t="shared" si="2"/>
        <v>0</v>
      </c>
      <c r="AQ7" s="204">
        <f t="shared" si="2"/>
        <v>0</v>
      </c>
      <c r="AR7" s="204">
        <f t="shared" si="2"/>
        <v>0</v>
      </c>
      <c r="AS7" s="204">
        <f t="shared" si="2"/>
        <v>0</v>
      </c>
      <c r="AT7" s="204">
        <f t="shared" si="2"/>
        <v>0</v>
      </c>
      <c r="AU7" s="204">
        <f t="shared" si="2"/>
        <v>0</v>
      </c>
      <c r="AV7" s="204">
        <f t="shared" si="2"/>
        <v>0</v>
      </c>
      <c r="AW7" s="204">
        <f t="shared" si="2"/>
        <v>0</v>
      </c>
      <c r="AX7" s="204">
        <f t="shared" si="2"/>
        <v>0</v>
      </c>
      <c r="AY7" s="204">
        <f t="shared" si="2"/>
        <v>0</v>
      </c>
      <c r="AZ7" s="204">
        <f t="shared" si="2"/>
        <v>0</v>
      </c>
      <c r="BA7" s="204">
        <f t="shared" si="2"/>
        <v>0</v>
      </c>
      <c r="BB7" s="204">
        <f t="shared" si="2"/>
        <v>0</v>
      </c>
      <c r="BC7" s="204">
        <f t="shared" si="2"/>
        <v>0</v>
      </c>
      <c r="BD7" s="204">
        <f t="shared" si="2"/>
        <v>0</v>
      </c>
      <c r="BE7" s="204">
        <f t="shared" si="2"/>
        <v>0</v>
      </c>
      <c r="BF7" s="204">
        <f t="shared" si="2"/>
        <v>0</v>
      </c>
      <c r="BG7" s="204">
        <f t="shared" si="2"/>
        <v>0</v>
      </c>
      <c r="BH7" s="204">
        <f t="shared" si="2"/>
        <v>0</v>
      </c>
      <c r="BI7" s="204">
        <f t="shared" si="2"/>
        <v>0</v>
      </c>
      <c r="BJ7" s="204"/>
      <c r="BK7" s="163"/>
      <c r="BL7" s="359"/>
      <c r="BM7" s="359"/>
      <c r="BN7" s="359"/>
      <c r="BO7" s="359"/>
      <c r="BP7" s="359"/>
      <c r="BQ7" s="395"/>
      <c r="BR7" s="396"/>
      <c r="BS7" s="396"/>
      <c r="BT7" s="396"/>
      <c r="BU7" s="396"/>
      <c r="BV7" s="136"/>
    </row>
    <row r="8" spans="1:74">
      <c r="A8" s="260" t="s">
        <v>209</v>
      </c>
      <c r="B8" s="203">
        <f>'Data Entry'!$F$34/12</f>
        <v>0</v>
      </c>
      <c r="C8" s="203">
        <f>'Data Entry'!$F$34/12</f>
        <v>0</v>
      </c>
      <c r="D8" s="203">
        <f>'Data Entry'!$F$34/12</f>
        <v>0</v>
      </c>
      <c r="E8" s="203">
        <f>'Data Entry'!$F$34/12</f>
        <v>0</v>
      </c>
      <c r="F8" s="203">
        <f>'Data Entry'!$F$34/12</f>
        <v>0</v>
      </c>
      <c r="G8" s="203">
        <f>'Data Entry'!$F$34/12</f>
        <v>0</v>
      </c>
      <c r="H8" s="203">
        <f>'Data Entry'!$F$34/12</f>
        <v>0</v>
      </c>
      <c r="I8" s="203">
        <f>'Data Entry'!$F$34/12</f>
        <v>0</v>
      </c>
      <c r="J8" s="203">
        <f>'Data Entry'!$F$34/12</f>
        <v>0</v>
      </c>
      <c r="K8" s="203">
        <f>'Data Entry'!$F$34/12</f>
        <v>0</v>
      </c>
      <c r="L8" s="203">
        <f>'Data Entry'!$F$34/12</f>
        <v>0</v>
      </c>
      <c r="M8" s="203">
        <f>'Data Entry'!$F$34/12</f>
        <v>0</v>
      </c>
      <c r="N8" s="203">
        <f>'Data Entry'!$G$34/12</f>
        <v>0</v>
      </c>
      <c r="O8" s="203">
        <f>'Data Entry'!$G$34/12</f>
        <v>0</v>
      </c>
      <c r="P8" s="203">
        <f>'Data Entry'!$G$34/12</f>
        <v>0</v>
      </c>
      <c r="Q8" s="203">
        <f>'Data Entry'!$G$34/12</f>
        <v>0</v>
      </c>
      <c r="R8" s="203">
        <f>'Data Entry'!$G$34/12</f>
        <v>0</v>
      </c>
      <c r="S8" s="203">
        <f>'Data Entry'!$G$34/12</f>
        <v>0</v>
      </c>
      <c r="T8" s="203">
        <f>'Data Entry'!$G$34/12</f>
        <v>0</v>
      </c>
      <c r="U8" s="203">
        <f>'Data Entry'!$G$34/12</f>
        <v>0</v>
      </c>
      <c r="V8" s="203">
        <f>'Data Entry'!$G$34/12</f>
        <v>0</v>
      </c>
      <c r="W8" s="203">
        <f>'Data Entry'!$G$34/12</f>
        <v>0</v>
      </c>
      <c r="X8" s="203">
        <f>'Data Entry'!$G$34/12</f>
        <v>0</v>
      </c>
      <c r="Y8" s="203">
        <f>'Data Entry'!$G$34/12</f>
        <v>0</v>
      </c>
      <c r="Z8" s="203">
        <f>'Data Entry'!$H$34/12</f>
        <v>0</v>
      </c>
      <c r="AA8" s="203">
        <f>'Data Entry'!$H$34/12</f>
        <v>0</v>
      </c>
      <c r="AB8" s="203">
        <f>'Data Entry'!$H$34/12</f>
        <v>0</v>
      </c>
      <c r="AC8" s="203">
        <f>'Data Entry'!$H$34/12</f>
        <v>0</v>
      </c>
      <c r="AD8" s="203">
        <f>'Data Entry'!$H$34/12</f>
        <v>0</v>
      </c>
      <c r="AE8" s="203">
        <f>'Data Entry'!$H$34/12</f>
        <v>0</v>
      </c>
      <c r="AF8" s="203">
        <f>'Data Entry'!$H$34/12</f>
        <v>0</v>
      </c>
      <c r="AG8" s="203">
        <f>'Data Entry'!$H$34/12</f>
        <v>0</v>
      </c>
      <c r="AH8" s="203">
        <f>'Data Entry'!$H$34/12</f>
        <v>0</v>
      </c>
      <c r="AI8" s="203">
        <f>'Data Entry'!$H$34/12</f>
        <v>0</v>
      </c>
      <c r="AJ8" s="203">
        <f>'Data Entry'!$H$34/12</f>
        <v>0</v>
      </c>
      <c r="AK8" s="203">
        <f>'Data Entry'!$H$34/12</f>
        <v>0</v>
      </c>
      <c r="AL8" s="203">
        <f>'Data Entry'!$I$34/12</f>
        <v>0</v>
      </c>
      <c r="AM8" s="203">
        <f>'Data Entry'!$I$34/12</f>
        <v>0</v>
      </c>
      <c r="AN8" s="203">
        <f>'Data Entry'!$I$34/12</f>
        <v>0</v>
      </c>
      <c r="AO8" s="203">
        <f>'Data Entry'!$I$34/12</f>
        <v>0</v>
      </c>
      <c r="AP8" s="203">
        <f>'Data Entry'!$I$34/12</f>
        <v>0</v>
      </c>
      <c r="AQ8" s="203">
        <f>'Data Entry'!$I$34/12</f>
        <v>0</v>
      </c>
      <c r="AR8" s="203">
        <f>'Data Entry'!$I$34/12</f>
        <v>0</v>
      </c>
      <c r="AS8" s="203">
        <f>'Data Entry'!$I$34/12</f>
        <v>0</v>
      </c>
      <c r="AT8" s="203">
        <f>'Data Entry'!$I$34/12</f>
        <v>0</v>
      </c>
      <c r="AU8" s="203">
        <f>'Data Entry'!$I$34/12</f>
        <v>0</v>
      </c>
      <c r="AV8" s="203">
        <f>'Data Entry'!$I$34/12</f>
        <v>0</v>
      </c>
      <c r="AW8" s="203">
        <f>'Data Entry'!$I$34/12</f>
        <v>0</v>
      </c>
      <c r="AX8" s="203">
        <f>'Data Entry'!$J$34/12</f>
        <v>0</v>
      </c>
      <c r="AY8" s="203">
        <f>'Data Entry'!$J$34/12</f>
        <v>0</v>
      </c>
      <c r="AZ8" s="203">
        <f>'Data Entry'!$J$34/12</f>
        <v>0</v>
      </c>
      <c r="BA8" s="203">
        <f>'Data Entry'!$J$34/12</f>
        <v>0</v>
      </c>
      <c r="BB8" s="203">
        <f>'Data Entry'!$J$34/12</f>
        <v>0</v>
      </c>
      <c r="BC8" s="203">
        <f>'Data Entry'!$J$34/12</f>
        <v>0</v>
      </c>
      <c r="BD8" s="203">
        <f>'Data Entry'!$J$34/12</f>
        <v>0</v>
      </c>
      <c r="BE8" s="203">
        <f>'Data Entry'!$J$34/12</f>
        <v>0</v>
      </c>
      <c r="BF8" s="203">
        <f>'Data Entry'!$J$34/12</f>
        <v>0</v>
      </c>
      <c r="BG8" s="203">
        <f>'Data Entry'!$J$34/12</f>
        <v>0</v>
      </c>
      <c r="BH8" s="203">
        <f>'Data Entry'!$J$34/12</f>
        <v>0</v>
      </c>
      <c r="BI8" s="203">
        <f>'Data Entry'!$J$34/12</f>
        <v>0</v>
      </c>
      <c r="BJ8" s="203"/>
      <c r="BK8" s="163"/>
      <c r="BL8" s="359"/>
      <c r="BM8" s="359"/>
      <c r="BN8" s="359"/>
      <c r="BO8" s="359"/>
      <c r="BP8" s="359"/>
      <c r="BQ8" s="395"/>
      <c r="BR8" s="396"/>
      <c r="BS8" s="396"/>
      <c r="BT8" s="396"/>
      <c r="BU8" s="396"/>
      <c r="BV8" s="136"/>
    </row>
    <row r="9" spans="1:74">
      <c r="A9" s="207" t="s">
        <v>210</v>
      </c>
      <c r="B9" s="206">
        <f>B7+B8</f>
        <v>0</v>
      </c>
      <c r="C9" s="206">
        <f>C7+C8</f>
        <v>0</v>
      </c>
      <c r="D9" s="206">
        <f t="shared" ref="D9:M9" si="3">D7+D8</f>
        <v>0</v>
      </c>
      <c r="E9" s="206">
        <f t="shared" si="3"/>
        <v>0</v>
      </c>
      <c r="F9" s="206">
        <f t="shared" si="3"/>
        <v>0</v>
      </c>
      <c r="G9" s="206">
        <f t="shared" si="3"/>
        <v>0</v>
      </c>
      <c r="H9" s="206">
        <f t="shared" si="3"/>
        <v>0</v>
      </c>
      <c r="I9" s="206">
        <f t="shared" si="3"/>
        <v>0</v>
      </c>
      <c r="J9" s="206">
        <f t="shared" si="3"/>
        <v>0</v>
      </c>
      <c r="K9" s="206">
        <f t="shared" si="3"/>
        <v>0</v>
      </c>
      <c r="L9" s="206">
        <f t="shared" si="3"/>
        <v>0</v>
      </c>
      <c r="M9" s="206">
        <f t="shared" si="3"/>
        <v>0</v>
      </c>
      <c r="N9" s="206">
        <f t="shared" ref="N9" si="4">N7+N8</f>
        <v>0</v>
      </c>
      <c r="O9" s="206">
        <f t="shared" ref="O9" si="5">O7+O8</f>
        <v>0</v>
      </c>
      <c r="P9" s="206">
        <f t="shared" ref="P9" si="6">P7+P8</f>
        <v>0</v>
      </c>
      <c r="Q9" s="206">
        <f t="shared" ref="Q9" si="7">Q7+Q8</f>
        <v>0</v>
      </c>
      <c r="R9" s="206">
        <f t="shared" ref="R9" si="8">R7+R8</f>
        <v>0</v>
      </c>
      <c r="S9" s="206">
        <f t="shared" ref="S9" si="9">S7+S8</f>
        <v>0</v>
      </c>
      <c r="T9" s="206">
        <f t="shared" ref="T9" si="10">T7+T8</f>
        <v>0</v>
      </c>
      <c r="U9" s="206">
        <f t="shared" ref="U9" si="11">U7+U8</f>
        <v>0</v>
      </c>
      <c r="V9" s="206">
        <f t="shared" ref="V9" si="12">V7+V8</f>
        <v>0</v>
      </c>
      <c r="W9" s="206">
        <f t="shared" ref="W9" si="13">W7+W8</f>
        <v>0</v>
      </c>
      <c r="X9" s="206">
        <f t="shared" ref="X9" si="14">X7+X8</f>
        <v>0</v>
      </c>
      <c r="Y9" s="206">
        <f t="shared" ref="Y9" si="15">Y7+Y8</f>
        <v>0</v>
      </c>
      <c r="Z9" s="206">
        <f t="shared" ref="Z9" si="16">Z7+Z8</f>
        <v>0</v>
      </c>
      <c r="AA9" s="206">
        <f t="shared" ref="AA9" si="17">AA7+AA8</f>
        <v>0</v>
      </c>
      <c r="AB9" s="206">
        <f t="shared" ref="AB9" si="18">AB7+AB8</f>
        <v>0</v>
      </c>
      <c r="AC9" s="206">
        <f t="shared" ref="AC9" si="19">AC7+AC8</f>
        <v>0</v>
      </c>
      <c r="AD9" s="206">
        <f t="shared" ref="AD9" si="20">AD7+AD8</f>
        <v>0</v>
      </c>
      <c r="AE9" s="206">
        <f t="shared" ref="AE9" si="21">AE7+AE8</f>
        <v>0</v>
      </c>
      <c r="AF9" s="206">
        <f t="shared" ref="AF9" si="22">AF7+AF8</f>
        <v>0</v>
      </c>
      <c r="AG9" s="206">
        <f t="shared" ref="AG9" si="23">AG7+AG8</f>
        <v>0</v>
      </c>
      <c r="AH9" s="206">
        <f t="shared" ref="AH9" si="24">AH7+AH8</f>
        <v>0</v>
      </c>
      <c r="AI9" s="206">
        <f t="shared" ref="AI9" si="25">AI7+AI8</f>
        <v>0</v>
      </c>
      <c r="AJ9" s="206">
        <f t="shared" ref="AJ9" si="26">AJ7+AJ8</f>
        <v>0</v>
      </c>
      <c r="AK9" s="206">
        <f t="shared" ref="AK9" si="27">AK7+AK8</f>
        <v>0</v>
      </c>
      <c r="AL9" s="206">
        <f t="shared" ref="AL9" si="28">AL7+AL8</f>
        <v>0</v>
      </c>
      <c r="AM9" s="206">
        <f t="shared" ref="AM9" si="29">AM7+AM8</f>
        <v>0</v>
      </c>
      <c r="AN9" s="206">
        <f t="shared" ref="AN9" si="30">AN7+AN8</f>
        <v>0</v>
      </c>
      <c r="AO9" s="206">
        <f t="shared" ref="AO9" si="31">AO7+AO8</f>
        <v>0</v>
      </c>
      <c r="AP9" s="206">
        <f t="shared" ref="AP9" si="32">AP7+AP8</f>
        <v>0</v>
      </c>
      <c r="AQ9" s="206">
        <f t="shared" ref="AQ9" si="33">AQ7+AQ8</f>
        <v>0</v>
      </c>
      <c r="AR9" s="206">
        <f t="shared" ref="AR9" si="34">AR7+AR8</f>
        <v>0</v>
      </c>
      <c r="AS9" s="206">
        <f t="shared" ref="AS9" si="35">AS7+AS8</f>
        <v>0</v>
      </c>
      <c r="AT9" s="206">
        <f t="shared" ref="AT9" si="36">AT7+AT8</f>
        <v>0</v>
      </c>
      <c r="AU9" s="206">
        <f t="shared" ref="AU9" si="37">AU7+AU8</f>
        <v>0</v>
      </c>
      <c r="AV9" s="206">
        <f t="shared" ref="AV9" si="38">AV7+AV8</f>
        <v>0</v>
      </c>
      <c r="AW9" s="206">
        <f t="shared" ref="AW9" si="39">AW7+AW8</f>
        <v>0</v>
      </c>
      <c r="AX9" s="206">
        <f t="shared" ref="AX9" si="40">AX7+AX8</f>
        <v>0</v>
      </c>
      <c r="AY9" s="206">
        <f t="shared" ref="AY9" si="41">AY7+AY8</f>
        <v>0</v>
      </c>
      <c r="AZ9" s="206">
        <f t="shared" ref="AZ9" si="42">AZ7+AZ8</f>
        <v>0</v>
      </c>
      <c r="BA9" s="206">
        <f t="shared" ref="BA9" si="43">BA7+BA8</f>
        <v>0</v>
      </c>
      <c r="BB9" s="206">
        <f t="shared" ref="BB9" si="44">BB7+BB8</f>
        <v>0</v>
      </c>
      <c r="BC9" s="206">
        <f t="shared" ref="BC9" si="45">BC7+BC8</f>
        <v>0</v>
      </c>
      <c r="BD9" s="206">
        <f t="shared" ref="BD9" si="46">BD7+BD8</f>
        <v>0</v>
      </c>
      <c r="BE9" s="206">
        <f t="shared" ref="BE9" si="47">BE7+BE8</f>
        <v>0</v>
      </c>
      <c r="BF9" s="206">
        <f t="shared" ref="BF9" si="48">BF7+BF8</f>
        <v>0</v>
      </c>
      <c r="BG9" s="206">
        <f t="shared" ref="BG9" si="49">BG7+BG8</f>
        <v>0</v>
      </c>
      <c r="BH9" s="206">
        <f t="shared" ref="BH9" si="50">BH7+BH8</f>
        <v>0</v>
      </c>
      <c r="BI9" s="206">
        <f t="shared" ref="BI9" si="51">BI7+BI8</f>
        <v>0</v>
      </c>
      <c r="BJ9" s="203"/>
      <c r="BK9" s="212">
        <f>M9</f>
        <v>0</v>
      </c>
      <c r="BL9" s="360">
        <f>Y9</f>
        <v>0</v>
      </c>
      <c r="BM9" s="360">
        <f>AK9</f>
        <v>0</v>
      </c>
      <c r="BN9" s="360">
        <f>AW9</f>
        <v>0</v>
      </c>
      <c r="BO9" s="360">
        <f>BI9</f>
        <v>0</v>
      </c>
      <c r="BP9" s="360"/>
      <c r="BQ9" s="395"/>
      <c r="BR9" s="396"/>
      <c r="BS9" s="396"/>
      <c r="BT9" s="396"/>
      <c r="BU9" s="396"/>
      <c r="BV9" s="136"/>
    </row>
    <row r="10" spans="1:74">
      <c r="A10" s="110" t="s">
        <v>64</v>
      </c>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163"/>
      <c r="BL10" s="359"/>
      <c r="BM10" s="359"/>
      <c r="BN10" s="359"/>
      <c r="BO10" s="359"/>
      <c r="BP10" s="359"/>
      <c r="BQ10" s="395"/>
      <c r="BR10" s="396"/>
      <c r="BS10" s="396"/>
      <c r="BT10" s="396"/>
      <c r="BU10" s="396"/>
      <c r="BV10" s="136"/>
    </row>
    <row r="11" spans="1:74">
      <c r="A11" s="205" t="s">
        <v>208</v>
      </c>
      <c r="B11" s="203">
        <f>'Data Entry'!D36</f>
        <v>20</v>
      </c>
      <c r="C11" s="204">
        <f>B13</f>
        <v>22</v>
      </c>
      <c r="D11" s="204">
        <f t="shared" ref="D11:M11" si="52">C13</f>
        <v>24</v>
      </c>
      <c r="E11" s="204">
        <f t="shared" si="52"/>
        <v>26</v>
      </c>
      <c r="F11" s="204">
        <f t="shared" si="52"/>
        <v>28</v>
      </c>
      <c r="G11" s="204">
        <f t="shared" si="52"/>
        <v>30</v>
      </c>
      <c r="H11" s="204">
        <f t="shared" si="52"/>
        <v>32</v>
      </c>
      <c r="I11" s="204">
        <f t="shared" si="52"/>
        <v>34</v>
      </c>
      <c r="J11" s="204">
        <f t="shared" si="52"/>
        <v>36</v>
      </c>
      <c r="K11" s="204">
        <f t="shared" si="52"/>
        <v>38</v>
      </c>
      <c r="L11" s="204">
        <f t="shared" si="52"/>
        <v>40</v>
      </c>
      <c r="M11" s="204">
        <f t="shared" si="52"/>
        <v>42</v>
      </c>
      <c r="N11" s="204">
        <f t="shared" ref="N11:AN11" si="53">M13</f>
        <v>44</v>
      </c>
      <c r="O11" s="204">
        <f t="shared" si="53"/>
        <v>46</v>
      </c>
      <c r="P11" s="204">
        <f t="shared" si="53"/>
        <v>48</v>
      </c>
      <c r="Q11" s="204">
        <f t="shared" si="53"/>
        <v>50</v>
      </c>
      <c r="R11" s="204">
        <f t="shared" si="53"/>
        <v>52</v>
      </c>
      <c r="S11" s="204">
        <f t="shared" si="53"/>
        <v>54</v>
      </c>
      <c r="T11" s="204">
        <f t="shared" si="53"/>
        <v>56</v>
      </c>
      <c r="U11" s="204">
        <f t="shared" si="53"/>
        <v>58</v>
      </c>
      <c r="V11" s="204">
        <f t="shared" si="53"/>
        <v>60</v>
      </c>
      <c r="W11" s="204">
        <f t="shared" si="53"/>
        <v>62</v>
      </c>
      <c r="X11" s="204">
        <f t="shared" si="53"/>
        <v>64</v>
      </c>
      <c r="Y11" s="204">
        <f t="shared" si="53"/>
        <v>66</v>
      </c>
      <c r="Z11" s="204">
        <f t="shared" si="53"/>
        <v>68</v>
      </c>
      <c r="AA11" s="204">
        <f t="shared" si="53"/>
        <v>70</v>
      </c>
      <c r="AB11" s="204">
        <f t="shared" si="53"/>
        <v>72</v>
      </c>
      <c r="AC11" s="204">
        <f t="shared" si="53"/>
        <v>74</v>
      </c>
      <c r="AD11" s="204">
        <f t="shared" si="53"/>
        <v>76</v>
      </c>
      <c r="AE11" s="204">
        <f t="shared" si="53"/>
        <v>78</v>
      </c>
      <c r="AF11" s="204">
        <f t="shared" si="53"/>
        <v>80</v>
      </c>
      <c r="AG11" s="204">
        <f t="shared" si="53"/>
        <v>82</v>
      </c>
      <c r="AH11" s="204">
        <f t="shared" si="53"/>
        <v>84</v>
      </c>
      <c r="AI11" s="204">
        <f t="shared" si="53"/>
        <v>86</v>
      </c>
      <c r="AJ11" s="204">
        <f t="shared" si="53"/>
        <v>88</v>
      </c>
      <c r="AK11" s="204">
        <f t="shared" si="53"/>
        <v>90</v>
      </c>
      <c r="AL11" s="204">
        <f t="shared" si="53"/>
        <v>92</v>
      </c>
      <c r="AM11" s="204">
        <f t="shared" si="53"/>
        <v>94</v>
      </c>
      <c r="AN11" s="204">
        <f t="shared" si="53"/>
        <v>96</v>
      </c>
      <c r="AO11" s="204">
        <f t="shared" ref="AO11:BI11" si="54">AN13</f>
        <v>98</v>
      </c>
      <c r="AP11" s="204">
        <f t="shared" si="54"/>
        <v>100</v>
      </c>
      <c r="AQ11" s="204">
        <f t="shared" si="54"/>
        <v>102</v>
      </c>
      <c r="AR11" s="204">
        <f t="shared" si="54"/>
        <v>104</v>
      </c>
      <c r="AS11" s="204">
        <f t="shared" si="54"/>
        <v>106</v>
      </c>
      <c r="AT11" s="204">
        <f t="shared" si="54"/>
        <v>108</v>
      </c>
      <c r="AU11" s="204">
        <f t="shared" si="54"/>
        <v>110</v>
      </c>
      <c r="AV11" s="204">
        <f t="shared" si="54"/>
        <v>112</v>
      </c>
      <c r="AW11" s="204">
        <f t="shared" si="54"/>
        <v>114</v>
      </c>
      <c r="AX11" s="204">
        <f t="shared" si="54"/>
        <v>116</v>
      </c>
      <c r="AY11" s="204">
        <f t="shared" si="54"/>
        <v>117</v>
      </c>
      <c r="AZ11" s="204">
        <f t="shared" si="54"/>
        <v>118</v>
      </c>
      <c r="BA11" s="204">
        <f t="shared" si="54"/>
        <v>119</v>
      </c>
      <c r="BB11" s="204">
        <f t="shared" si="54"/>
        <v>120</v>
      </c>
      <c r="BC11" s="204">
        <f t="shared" si="54"/>
        <v>121</v>
      </c>
      <c r="BD11" s="204">
        <f t="shared" si="54"/>
        <v>122</v>
      </c>
      <c r="BE11" s="204">
        <f t="shared" si="54"/>
        <v>123</v>
      </c>
      <c r="BF11" s="204">
        <f t="shared" si="54"/>
        <v>124</v>
      </c>
      <c r="BG11" s="204">
        <f t="shared" si="54"/>
        <v>125</v>
      </c>
      <c r="BH11" s="204">
        <f t="shared" si="54"/>
        <v>126</v>
      </c>
      <c r="BI11" s="204">
        <f t="shared" si="54"/>
        <v>127</v>
      </c>
      <c r="BJ11" s="204"/>
      <c r="BK11" s="163"/>
      <c r="BL11" s="359"/>
      <c r="BM11" s="359"/>
      <c r="BN11" s="359"/>
      <c r="BO11" s="359"/>
      <c r="BP11" s="359"/>
      <c r="BQ11" s="395"/>
      <c r="BR11" s="396"/>
      <c r="BS11" s="396"/>
      <c r="BT11" s="396"/>
      <c r="BU11" s="396"/>
      <c r="BV11" s="136"/>
    </row>
    <row r="12" spans="1:74">
      <c r="A12" s="205" t="s">
        <v>209</v>
      </c>
      <c r="B12" s="203">
        <f>'Data Entry'!$F$36/12</f>
        <v>2</v>
      </c>
      <c r="C12" s="203">
        <f>'Data Entry'!$F$36/12</f>
        <v>2</v>
      </c>
      <c r="D12" s="203">
        <f>'Data Entry'!$F$36/12</f>
        <v>2</v>
      </c>
      <c r="E12" s="203">
        <f>'Data Entry'!$F$36/12</f>
        <v>2</v>
      </c>
      <c r="F12" s="203">
        <f>'Data Entry'!$F$36/12</f>
        <v>2</v>
      </c>
      <c r="G12" s="203">
        <f>'Data Entry'!$F$36/12</f>
        <v>2</v>
      </c>
      <c r="H12" s="203">
        <f>'Data Entry'!$F$36/12</f>
        <v>2</v>
      </c>
      <c r="I12" s="203">
        <f>'Data Entry'!$F$36/12</f>
        <v>2</v>
      </c>
      <c r="J12" s="203">
        <f>'Data Entry'!$F$36/12</f>
        <v>2</v>
      </c>
      <c r="K12" s="203">
        <f>'Data Entry'!$F$36/12</f>
        <v>2</v>
      </c>
      <c r="L12" s="203">
        <f>'Data Entry'!$F$36/12</f>
        <v>2</v>
      </c>
      <c r="M12" s="203">
        <f>'Data Entry'!$F$36/12</f>
        <v>2</v>
      </c>
      <c r="N12" s="203">
        <f>'Data Entry'!$G$36/12</f>
        <v>2</v>
      </c>
      <c r="O12" s="203">
        <f>'Data Entry'!$G$36/12</f>
        <v>2</v>
      </c>
      <c r="P12" s="203">
        <f>'Data Entry'!$G$36/12</f>
        <v>2</v>
      </c>
      <c r="Q12" s="203">
        <f>'Data Entry'!$G$36/12</f>
        <v>2</v>
      </c>
      <c r="R12" s="203">
        <f>'Data Entry'!$G$36/12</f>
        <v>2</v>
      </c>
      <c r="S12" s="203">
        <f>'Data Entry'!$G$36/12</f>
        <v>2</v>
      </c>
      <c r="T12" s="203">
        <f>'Data Entry'!$G$36/12</f>
        <v>2</v>
      </c>
      <c r="U12" s="203">
        <f>'Data Entry'!$G$36/12</f>
        <v>2</v>
      </c>
      <c r="V12" s="203">
        <f>'Data Entry'!$G$36/12</f>
        <v>2</v>
      </c>
      <c r="W12" s="203">
        <f>'Data Entry'!$G$36/12</f>
        <v>2</v>
      </c>
      <c r="X12" s="203">
        <f>'Data Entry'!$G$36/12</f>
        <v>2</v>
      </c>
      <c r="Y12" s="203">
        <f>'Data Entry'!$G$36/12</f>
        <v>2</v>
      </c>
      <c r="Z12" s="203">
        <f>'Data Entry'!$H$36/12</f>
        <v>2</v>
      </c>
      <c r="AA12" s="203">
        <f>'Data Entry'!$H$36/12</f>
        <v>2</v>
      </c>
      <c r="AB12" s="203">
        <f>'Data Entry'!$H$36/12</f>
        <v>2</v>
      </c>
      <c r="AC12" s="203">
        <f>'Data Entry'!$H$36/12</f>
        <v>2</v>
      </c>
      <c r="AD12" s="203">
        <f>'Data Entry'!$H$36/12</f>
        <v>2</v>
      </c>
      <c r="AE12" s="203">
        <f>'Data Entry'!$H$36/12</f>
        <v>2</v>
      </c>
      <c r="AF12" s="203">
        <f>'Data Entry'!$H$36/12</f>
        <v>2</v>
      </c>
      <c r="AG12" s="203">
        <f>'Data Entry'!$H$36/12</f>
        <v>2</v>
      </c>
      <c r="AH12" s="203">
        <f>'Data Entry'!$H$36/12</f>
        <v>2</v>
      </c>
      <c r="AI12" s="203">
        <f>'Data Entry'!$H$36/12</f>
        <v>2</v>
      </c>
      <c r="AJ12" s="203">
        <f>'Data Entry'!$H$36/12</f>
        <v>2</v>
      </c>
      <c r="AK12" s="203">
        <f>'Data Entry'!$H$36/12</f>
        <v>2</v>
      </c>
      <c r="AL12" s="203">
        <f>'Data Entry'!$I$36/12</f>
        <v>2</v>
      </c>
      <c r="AM12" s="203">
        <f>'Data Entry'!$I$36/12</f>
        <v>2</v>
      </c>
      <c r="AN12" s="203">
        <f>'Data Entry'!$I$36/12</f>
        <v>2</v>
      </c>
      <c r="AO12" s="203">
        <f>'Data Entry'!$I$36/12</f>
        <v>2</v>
      </c>
      <c r="AP12" s="203">
        <f>'Data Entry'!$I$36/12</f>
        <v>2</v>
      </c>
      <c r="AQ12" s="203">
        <f>'Data Entry'!$I$36/12</f>
        <v>2</v>
      </c>
      <c r="AR12" s="203">
        <f>'Data Entry'!$I$36/12</f>
        <v>2</v>
      </c>
      <c r="AS12" s="203">
        <f>'Data Entry'!$I$36/12</f>
        <v>2</v>
      </c>
      <c r="AT12" s="203">
        <f>'Data Entry'!$I$36/12</f>
        <v>2</v>
      </c>
      <c r="AU12" s="203">
        <f>'Data Entry'!$I$36/12</f>
        <v>2</v>
      </c>
      <c r="AV12" s="203">
        <f>'Data Entry'!$I$36/12</f>
        <v>2</v>
      </c>
      <c r="AW12" s="203">
        <f>'Data Entry'!$I$36/12</f>
        <v>2</v>
      </c>
      <c r="AX12" s="203">
        <f>'Data Entry'!$J$36/12</f>
        <v>1</v>
      </c>
      <c r="AY12" s="203">
        <f>'Data Entry'!$J$36/12</f>
        <v>1</v>
      </c>
      <c r="AZ12" s="203">
        <f>'Data Entry'!$J$36/12</f>
        <v>1</v>
      </c>
      <c r="BA12" s="203">
        <f>'Data Entry'!$J$36/12</f>
        <v>1</v>
      </c>
      <c r="BB12" s="203">
        <f>'Data Entry'!$J$36/12</f>
        <v>1</v>
      </c>
      <c r="BC12" s="203">
        <f>'Data Entry'!$J$36/12</f>
        <v>1</v>
      </c>
      <c r="BD12" s="203">
        <f>'Data Entry'!$J$36/12</f>
        <v>1</v>
      </c>
      <c r="BE12" s="203">
        <f>'Data Entry'!$J$36/12</f>
        <v>1</v>
      </c>
      <c r="BF12" s="203">
        <f>'Data Entry'!$J$36/12</f>
        <v>1</v>
      </c>
      <c r="BG12" s="203">
        <f>'Data Entry'!$J$36/12</f>
        <v>1</v>
      </c>
      <c r="BH12" s="203">
        <f>'Data Entry'!$J$36/12</f>
        <v>1</v>
      </c>
      <c r="BI12" s="203">
        <f>'Data Entry'!$J$36/12</f>
        <v>1</v>
      </c>
      <c r="BJ12" s="203"/>
      <c r="BK12" s="163"/>
      <c r="BL12" s="359"/>
      <c r="BM12" s="359"/>
      <c r="BN12" s="359"/>
      <c r="BO12" s="359"/>
      <c r="BP12" s="359"/>
      <c r="BQ12" s="395"/>
      <c r="BR12" s="396"/>
      <c r="BS12" s="396"/>
      <c r="BT12" s="396"/>
      <c r="BU12" s="396"/>
      <c r="BV12" s="136"/>
    </row>
    <row r="13" spans="1:74">
      <c r="A13" s="207" t="s">
        <v>211</v>
      </c>
      <c r="B13" s="206">
        <f>B11+B12</f>
        <v>22</v>
      </c>
      <c r="C13" s="206">
        <f>C11+C12</f>
        <v>24</v>
      </c>
      <c r="D13" s="206">
        <f t="shared" ref="D13:M13" si="55">D11+D12</f>
        <v>26</v>
      </c>
      <c r="E13" s="206">
        <f t="shared" si="55"/>
        <v>28</v>
      </c>
      <c r="F13" s="206">
        <f t="shared" si="55"/>
        <v>30</v>
      </c>
      <c r="G13" s="206">
        <f t="shared" si="55"/>
        <v>32</v>
      </c>
      <c r="H13" s="206">
        <f t="shared" si="55"/>
        <v>34</v>
      </c>
      <c r="I13" s="206">
        <f t="shared" si="55"/>
        <v>36</v>
      </c>
      <c r="J13" s="206">
        <f t="shared" si="55"/>
        <v>38</v>
      </c>
      <c r="K13" s="206">
        <f t="shared" si="55"/>
        <v>40</v>
      </c>
      <c r="L13" s="206">
        <f t="shared" si="55"/>
        <v>42</v>
      </c>
      <c r="M13" s="206">
        <f t="shared" si="55"/>
        <v>44</v>
      </c>
      <c r="N13" s="206">
        <f t="shared" ref="N13" si="56">N11+N12</f>
        <v>46</v>
      </c>
      <c r="O13" s="206">
        <f t="shared" ref="O13" si="57">O11+O12</f>
        <v>48</v>
      </c>
      <c r="P13" s="206">
        <f t="shared" ref="P13" si="58">P11+P12</f>
        <v>50</v>
      </c>
      <c r="Q13" s="206">
        <f t="shared" ref="Q13" si="59">Q11+Q12</f>
        <v>52</v>
      </c>
      <c r="R13" s="206">
        <f t="shared" ref="R13" si="60">R11+R12</f>
        <v>54</v>
      </c>
      <c r="S13" s="206">
        <f t="shared" ref="S13" si="61">S11+S12</f>
        <v>56</v>
      </c>
      <c r="T13" s="206">
        <f t="shared" ref="T13" si="62">T11+T12</f>
        <v>58</v>
      </c>
      <c r="U13" s="206">
        <f t="shared" ref="U13" si="63">U11+U12</f>
        <v>60</v>
      </c>
      <c r="V13" s="206">
        <f t="shared" ref="V13" si="64">V11+V12</f>
        <v>62</v>
      </c>
      <c r="W13" s="206">
        <f t="shared" ref="W13" si="65">W11+W12</f>
        <v>64</v>
      </c>
      <c r="X13" s="206">
        <f t="shared" ref="X13" si="66">X11+X12</f>
        <v>66</v>
      </c>
      <c r="Y13" s="206">
        <f t="shared" ref="Y13" si="67">Y11+Y12</f>
        <v>68</v>
      </c>
      <c r="Z13" s="206">
        <f t="shared" ref="Z13" si="68">Z11+Z12</f>
        <v>70</v>
      </c>
      <c r="AA13" s="206">
        <f t="shared" ref="AA13" si="69">AA11+AA12</f>
        <v>72</v>
      </c>
      <c r="AB13" s="206">
        <f t="shared" ref="AB13" si="70">AB11+AB12</f>
        <v>74</v>
      </c>
      <c r="AC13" s="206">
        <f t="shared" ref="AC13" si="71">AC11+AC12</f>
        <v>76</v>
      </c>
      <c r="AD13" s="206">
        <f t="shared" ref="AD13" si="72">AD11+AD12</f>
        <v>78</v>
      </c>
      <c r="AE13" s="206">
        <f t="shared" ref="AE13" si="73">AE11+AE12</f>
        <v>80</v>
      </c>
      <c r="AF13" s="206">
        <f t="shared" ref="AF13" si="74">AF11+AF12</f>
        <v>82</v>
      </c>
      <c r="AG13" s="206">
        <f t="shared" ref="AG13" si="75">AG11+AG12</f>
        <v>84</v>
      </c>
      <c r="AH13" s="206">
        <f t="shared" ref="AH13" si="76">AH11+AH12</f>
        <v>86</v>
      </c>
      <c r="AI13" s="206">
        <f t="shared" ref="AI13" si="77">AI11+AI12</f>
        <v>88</v>
      </c>
      <c r="AJ13" s="206">
        <f t="shared" ref="AJ13" si="78">AJ11+AJ12</f>
        <v>90</v>
      </c>
      <c r="AK13" s="206">
        <f t="shared" ref="AK13" si="79">AK11+AK12</f>
        <v>92</v>
      </c>
      <c r="AL13" s="206">
        <f t="shared" ref="AL13" si="80">AL11+AL12</f>
        <v>94</v>
      </c>
      <c r="AM13" s="206">
        <f t="shared" ref="AM13" si="81">AM11+AM12</f>
        <v>96</v>
      </c>
      <c r="AN13" s="206">
        <f t="shared" ref="AN13" si="82">AN11+AN12</f>
        <v>98</v>
      </c>
      <c r="AO13" s="206">
        <f t="shared" ref="AO13" si="83">AO11+AO12</f>
        <v>100</v>
      </c>
      <c r="AP13" s="206">
        <f t="shared" ref="AP13" si="84">AP11+AP12</f>
        <v>102</v>
      </c>
      <c r="AQ13" s="206">
        <f t="shared" ref="AQ13" si="85">AQ11+AQ12</f>
        <v>104</v>
      </c>
      <c r="AR13" s="206">
        <f t="shared" ref="AR13" si="86">AR11+AR12</f>
        <v>106</v>
      </c>
      <c r="AS13" s="206">
        <f t="shared" ref="AS13" si="87">AS11+AS12</f>
        <v>108</v>
      </c>
      <c r="AT13" s="206">
        <f t="shared" ref="AT13" si="88">AT11+AT12</f>
        <v>110</v>
      </c>
      <c r="AU13" s="206">
        <f t="shared" ref="AU13" si="89">AU11+AU12</f>
        <v>112</v>
      </c>
      <c r="AV13" s="206">
        <f t="shared" ref="AV13" si="90">AV11+AV12</f>
        <v>114</v>
      </c>
      <c r="AW13" s="206">
        <f t="shared" ref="AW13" si="91">AW11+AW12</f>
        <v>116</v>
      </c>
      <c r="AX13" s="206">
        <f t="shared" ref="AX13" si="92">AX11+AX12</f>
        <v>117</v>
      </c>
      <c r="AY13" s="206">
        <f t="shared" ref="AY13" si="93">AY11+AY12</f>
        <v>118</v>
      </c>
      <c r="AZ13" s="206">
        <f t="shared" ref="AZ13" si="94">AZ11+AZ12</f>
        <v>119</v>
      </c>
      <c r="BA13" s="206">
        <f t="shared" ref="BA13" si="95">BA11+BA12</f>
        <v>120</v>
      </c>
      <c r="BB13" s="206">
        <f t="shared" ref="BB13" si="96">BB11+BB12</f>
        <v>121</v>
      </c>
      <c r="BC13" s="206">
        <f t="shared" ref="BC13" si="97">BC11+BC12</f>
        <v>122</v>
      </c>
      <c r="BD13" s="206">
        <f t="shared" ref="BD13" si="98">BD11+BD12</f>
        <v>123</v>
      </c>
      <c r="BE13" s="206">
        <f t="shared" ref="BE13" si="99">BE11+BE12</f>
        <v>124</v>
      </c>
      <c r="BF13" s="206">
        <f t="shared" ref="BF13" si="100">BF11+BF12</f>
        <v>125</v>
      </c>
      <c r="BG13" s="206">
        <f t="shared" ref="BG13" si="101">BG11+BG12</f>
        <v>126</v>
      </c>
      <c r="BH13" s="206">
        <f t="shared" ref="BH13" si="102">BH11+BH12</f>
        <v>127</v>
      </c>
      <c r="BI13" s="206">
        <f t="shared" ref="BI13" si="103">BI11+BI12</f>
        <v>128</v>
      </c>
      <c r="BJ13" s="203"/>
      <c r="BK13" s="212">
        <f>M13</f>
        <v>44</v>
      </c>
      <c r="BL13" s="360">
        <f>Y13</f>
        <v>68</v>
      </c>
      <c r="BM13" s="360">
        <f>AK13</f>
        <v>92</v>
      </c>
      <c r="BN13" s="360">
        <f>AW13</f>
        <v>116</v>
      </c>
      <c r="BO13" s="360">
        <f>BI13</f>
        <v>128</v>
      </c>
      <c r="BP13" s="360"/>
      <c r="BQ13" s="395"/>
      <c r="BR13" s="396"/>
      <c r="BS13" s="396"/>
      <c r="BT13" s="396"/>
      <c r="BU13" s="396"/>
      <c r="BV13" s="136"/>
    </row>
    <row r="14" spans="1:74">
      <c r="A14" s="246" t="s">
        <v>285</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12"/>
      <c r="BL14" s="360"/>
      <c r="BM14" s="360"/>
      <c r="BN14" s="360"/>
      <c r="BO14" s="360"/>
      <c r="BP14" s="360"/>
      <c r="BQ14" s="395"/>
      <c r="BR14" s="396"/>
      <c r="BS14" s="396"/>
      <c r="BT14" s="396"/>
      <c r="BU14" s="396"/>
      <c r="BV14" s="136"/>
    </row>
    <row r="15" spans="1:74">
      <c r="A15" s="267" t="s">
        <v>198</v>
      </c>
      <c r="B15" s="247">
        <f>B9*'Data Entry'!$D$18/7</f>
        <v>0</v>
      </c>
      <c r="C15" s="247">
        <f>C9*'Data Entry'!$D$18/7</f>
        <v>0</v>
      </c>
      <c r="D15" s="247">
        <f>D9*'Data Entry'!$D$18/7</f>
        <v>0</v>
      </c>
      <c r="E15" s="247">
        <f>E9*'Data Entry'!$D$18/7</f>
        <v>0</v>
      </c>
      <c r="F15" s="247">
        <f>F9*'Data Entry'!$D$18/7</f>
        <v>0</v>
      </c>
      <c r="G15" s="247">
        <f>G9*'Data Entry'!$D$18/7</f>
        <v>0</v>
      </c>
      <c r="H15" s="247">
        <f>H9*'Data Entry'!$D$18/7</f>
        <v>0</v>
      </c>
      <c r="I15" s="247">
        <f>I9*'Data Entry'!$D$18/7</f>
        <v>0</v>
      </c>
      <c r="J15" s="247">
        <f>J9*'Data Entry'!$D$18/7</f>
        <v>0</v>
      </c>
      <c r="K15" s="247">
        <f>K9*'Data Entry'!$D$18/7</f>
        <v>0</v>
      </c>
      <c r="L15" s="247">
        <f>L9*'Data Entry'!$D$18/7</f>
        <v>0</v>
      </c>
      <c r="M15" s="247">
        <f>M9*'Data Entry'!$D$18/7</f>
        <v>0</v>
      </c>
      <c r="N15" s="247">
        <f>N9*'Data Entry'!$D$18/7</f>
        <v>0</v>
      </c>
      <c r="O15" s="247">
        <f>O9*'Data Entry'!$D$18/7</f>
        <v>0</v>
      </c>
      <c r="P15" s="247">
        <f>P9*'Data Entry'!$D$18/7</f>
        <v>0</v>
      </c>
      <c r="Q15" s="247">
        <f>Q9*'Data Entry'!$D$18/7</f>
        <v>0</v>
      </c>
      <c r="R15" s="247">
        <f>R9*'Data Entry'!$D$18/7</f>
        <v>0</v>
      </c>
      <c r="S15" s="247">
        <f>S9*'Data Entry'!$D$18/7</f>
        <v>0</v>
      </c>
      <c r="T15" s="247">
        <f>T9*'Data Entry'!$D$18/7</f>
        <v>0</v>
      </c>
      <c r="U15" s="247">
        <f>U9*'Data Entry'!$D$18/7</f>
        <v>0</v>
      </c>
      <c r="V15" s="247">
        <f>V9*'Data Entry'!$D$18/7</f>
        <v>0</v>
      </c>
      <c r="W15" s="247">
        <f>W9*'Data Entry'!$D$18/7</f>
        <v>0</v>
      </c>
      <c r="X15" s="247">
        <f>X9*'Data Entry'!$D$18/7</f>
        <v>0</v>
      </c>
      <c r="Y15" s="247">
        <f>Y9*'Data Entry'!$D$18/7</f>
        <v>0</v>
      </c>
      <c r="Z15" s="247">
        <f>Z9*'Data Entry'!$D$18/7</f>
        <v>0</v>
      </c>
      <c r="AA15" s="247">
        <f>AA9*'Data Entry'!$D$18/7</f>
        <v>0</v>
      </c>
      <c r="AB15" s="247">
        <f>AB9*'Data Entry'!$D$18/7</f>
        <v>0</v>
      </c>
      <c r="AC15" s="247">
        <f>AC9*'Data Entry'!$D$18/7</f>
        <v>0</v>
      </c>
      <c r="AD15" s="247">
        <f>AD9*'Data Entry'!$D$18/7</f>
        <v>0</v>
      </c>
      <c r="AE15" s="247">
        <f>AE9*'Data Entry'!$D$18/7</f>
        <v>0</v>
      </c>
      <c r="AF15" s="247">
        <f>AF9*'Data Entry'!$D$18/7</f>
        <v>0</v>
      </c>
      <c r="AG15" s="247">
        <f>AG9*'Data Entry'!$D$18/7</f>
        <v>0</v>
      </c>
      <c r="AH15" s="247">
        <f>AH9*'Data Entry'!$D$18/7</f>
        <v>0</v>
      </c>
      <c r="AI15" s="247">
        <f>AI9*'Data Entry'!$D$18/7</f>
        <v>0</v>
      </c>
      <c r="AJ15" s="247">
        <f>AJ9*'Data Entry'!$D$18/7</f>
        <v>0</v>
      </c>
      <c r="AK15" s="247">
        <f>AK9*'Data Entry'!$D$18/7</f>
        <v>0</v>
      </c>
      <c r="AL15" s="247">
        <f>AL9*'Data Entry'!$D$18/7</f>
        <v>0</v>
      </c>
      <c r="AM15" s="247">
        <f>AM9*'Data Entry'!$D$18/7</f>
        <v>0</v>
      </c>
      <c r="AN15" s="247">
        <f>AN9*'Data Entry'!$D$18/7</f>
        <v>0</v>
      </c>
      <c r="AO15" s="247">
        <f>AO9*'Data Entry'!$D$18/7</f>
        <v>0</v>
      </c>
      <c r="AP15" s="247">
        <f>AP9*'Data Entry'!$D$18/7</f>
        <v>0</v>
      </c>
      <c r="AQ15" s="247">
        <f>AQ9*'Data Entry'!$D$18/7</f>
        <v>0</v>
      </c>
      <c r="AR15" s="247">
        <f>AR9*'Data Entry'!$D$18/7</f>
        <v>0</v>
      </c>
      <c r="AS15" s="247">
        <f>AS9*'Data Entry'!$D$18/7</f>
        <v>0</v>
      </c>
      <c r="AT15" s="247">
        <f>AT9*'Data Entry'!$D$18/7</f>
        <v>0</v>
      </c>
      <c r="AU15" s="247">
        <f>AU9*'Data Entry'!$D$18/7</f>
        <v>0</v>
      </c>
      <c r="AV15" s="247">
        <f>AV9*'Data Entry'!$D$18/7</f>
        <v>0</v>
      </c>
      <c r="AW15" s="247">
        <f>AW9*'Data Entry'!$D$18/7</f>
        <v>0</v>
      </c>
      <c r="AX15" s="247">
        <f>AX9*'Data Entry'!$D$18/7</f>
        <v>0</v>
      </c>
      <c r="AY15" s="247">
        <f>AY9*'Data Entry'!$D$18/7</f>
        <v>0</v>
      </c>
      <c r="AZ15" s="247">
        <f>AZ9*'Data Entry'!$D$18/7</f>
        <v>0</v>
      </c>
      <c r="BA15" s="247">
        <f>BA9*'Data Entry'!$D$18/7</f>
        <v>0</v>
      </c>
      <c r="BB15" s="247">
        <f>BB9*'Data Entry'!$D$18/7</f>
        <v>0</v>
      </c>
      <c r="BC15" s="247">
        <f>BC9*'Data Entry'!$D$18/7</f>
        <v>0</v>
      </c>
      <c r="BD15" s="247">
        <f>BD9*'Data Entry'!$D$18/7</f>
        <v>0</v>
      </c>
      <c r="BE15" s="247">
        <f>BE9*'Data Entry'!$D$18/7</f>
        <v>0</v>
      </c>
      <c r="BF15" s="247">
        <f>BF9*'Data Entry'!$D$18/7</f>
        <v>0</v>
      </c>
      <c r="BG15" s="247">
        <f>BG9*'Data Entry'!$D$18/7</f>
        <v>0</v>
      </c>
      <c r="BH15" s="247">
        <f>BH9*'Data Entry'!$D$18/7</f>
        <v>0</v>
      </c>
      <c r="BI15" s="247">
        <f>BI9*'Data Entry'!$D$18/7</f>
        <v>0</v>
      </c>
      <c r="BJ15" s="247"/>
      <c r="BK15" s="212"/>
      <c r="BL15" s="360"/>
      <c r="BM15" s="360"/>
      <c r="BN15" s="360"/>
      <c r="BO15" s="360"/>
      <c r="BP15" s="360"/>
      <c r="BQ15" s="395"/>
      <c r="BR15" s="396"/>
      <c r="BS15" s="396"/>
      <c r="BT15" s="396"/>
      <c r="BU15" s="396"/>
      <c r="BV15" s="136"/>
    </row>
    <row r="16" spans="1:74">
      <c r="A16" s="267" t="s">
        <v>199</v>
      </c>
      <c r="B16" s="247">
        <f>B13*'Data Entry'!$D$19/7</f>
        <v>9.4285714285714288</v>
      </c>
      <c r="C16" s="247">
        <f>C13*'Data Entry'!$D$19/7</f>
        <v>10.285714285714286</v>
      </c>
      <c r="D16" s="247">
        <f>D13*'Data Entry'!$D$19/7</f>
        <v>11.142857142857142</v>
      </c>
      <c r="E16" s="247">
        <f>E13*'Data Entry'!$D$19/7</f>
        <v>12</v>
      </c>
      <c r="F16" s="247">
        <f>F13*'Data Entry'!$D$19/7</f>
        <v>12.857142857142858</v>
      </c>
      <c r="G16" s="247">
        <f>G13*'Data Entry'!$D$19/7</f>
        <v>13.714285714285714</v>
      </c>
      <c r="H16" s="247">
        <f>H13*'Data Entry'!$D$19/7</f>
        <v>14.571428571428571</v>
      </c>
      <c r="I16" s="247">
        <f>I13*'Data Entry'!$D$19/7</f>
        <v>15.428571428571429</v>
      </c>
      <c r="J16" s="247">
        <f>J13*'Data Entry'!$D$19/7</f>
        <v>16.285714285714285</v>
      </c>
      <c r="K16" s="247">
        <f>K13*'Data Entry'!$D$19/7</f>
        <v>17.142857142857142</v>
      </c>
      <c r="L16" s="247">
        <f>L13*'Data Entry'!$D$19/7</f>
        <v>18</v>
      </c>
      <c r="M16" s="247">
        <f>M13*'Data Entry'!$D$19/7</f>
        <v>18.857142857142858</v>
      </c>
      <c r="N16" s="247">
        <f>N13*'Data Entry'!$D$19/7</f>
        <v>19.714285714285715</v>
      </c>
      <c r="O16" s="247">
        <f>O13*'Data Entry'!$D$19/7</f>
        <v>20.571428571428573</v>
      </c>
      <c r="P16" s="247">
        <f>P13*'Data Entry'!$D$19/7</f>
        <v>21.428571428571427</v>
      </c>
      <c r="Q16" s="247">
        <f>Q13*'Data Entry'!$D$19/7</f>
        <v>22.285714285714285</v>
      </c>
      <c r="R16" s="247">
        <f>R13*'Data Entry'!$D$19/7</f>
        <v>23.142857142857142</v>
      </c>
      <c r="S16" s="247">
        <f>S13*'Data Entry'!$D$19/7</f>
        <v>24</v>
      </c>
      <c r="T16" s="247">
        <f>T13*'Data Entry'!$D$19/7</f>
        <v>24.857142857142858</v>
      </c>
      <c r="U16" s="247">
        <f>U13*'Data Entry'!$D$19/7</f>
        <v>25.714285714285715</v>
      </c>
      <c r="V16" s="247">
        <f>V13*'Data Entry'!$D$19/7</f>
        <v>26.571428571428573</v>
      </c>
      <c r="W16" s="247">
        <f>W13*'Data Entry'!$D$19/7</f>
        <v>27.428571428571427</v>
      </c>
      <c r="X16" s="247">
        <f>X13*'Data Entry'!$D$19/7</f>
        <v>28.285714285714285</v>
      </c>
      <c r="Y16" s="247">
        <f>Y13*'Data Entry'!$D$19/7</f>
        <v>29.142857142857142</v>
      </c>
      <c r="Z16" s="247">
        <f>Z13*'Data Entry'!$D$19/7</f>
        <v>30</v>
      </c>
      <c r="AA16" s="247">
        <f>AA13*'Data Entry'!$D$19/7</f>
        <v>30.857142857142858</v>
      </c>
      <c r="AB16" s="247">
        <f>AB13*'Data Entry'!$D$19/7</f>
        <v>31.714285714285715</v>
      </c>
      <c r="AC16" s="247">
        <f>AC13*'Data Entry'!$D$19/7</f>
        <v>32.571428571428569</v>
      </c>
      <c r="AD16" s="247">
        <f>AD13*'Data Entry'!$D$19/7</f>
        <v>33.428571428571431</v>
      </c>
      <c r="AE16" s="247">
        <f>AE13*'Data Entry'!$D$19/7</f>
        <v>34.285714285714285</v>
      </c>
      <c r="AF16" s="247">
        <f>AF13*'Data Entry'!$D$19/7</f>
        <v>35.142857142857146</v>
      </c>
      <c r="AG16" s="247">
        <f>AG13*'Data Entry'!$D$19/7</f>
        <v>36</v>
      </c>
      <c r="AH16" s="247">
        <f>AH13*'Data Entry'!$D$19/7</f>
        <v>36.857142857142854</v>
      </c>
      <c r="AI16" s="247">
        <f>AI13*'Data Entry'!$D$19/7</f>
        <v>37.714285714285715</v>
      </c>
      <c r="AJ16" s="247">
        <f>AJ13*'Data Entry'!$D$19/7</f>
        <v>38.571428571428569</v>
      </c>
      <c r="AK16" s="247">
        <f>AK13*'Data Entry'!$D$19/7</f>
        <v>39.428571428571431</v>
      </c>
      <c r="AL16" s="247">
        <f>AL13*'Data Entry'!$D$19/7</f>
        <v>40.285714285714285</v>
      </c>
      <c r="AM16" s="247">
        <f>AM13*'Data Entry'!$D$19/7</f>
        <v>41.142857142857146</v>
      </c>
      <c r="AN16" s="247">
        <f>AN13*'Data Entry'!$D$19/7</f>
        <v>42</v>
      </c>
      <c r="AO16" s="247">
        <f>AO13*'Data Entry'!$D$19/7</f>
        <v>42.857142857142854</v>
      </c>
      <c r="AP16" s="247">
        <f>AP13*'Data Entry'!$D$19/7</f>
        <v>43.714285714285715</v>
      </c>
      <c r="AQ16" s="247">
        <f>AQ13*'Data Entry'!$D$19/7</f>
        <v>44.571428571428569</v>
      </c>
      <c r="AR16" s="247">
        <f>AR13*'Data Entry'!$D$19/7</f>
        <v>45.428571428571431</v>
      </c>
      <c r="AS16" s="247">
        <f>AS13*'Data Entry'!$D$19/7</f>
        <v>46.285714285714285</v>
      </c>
      <c r="AT16" s="247">
        <f>AT13*'Data Entry'!$D$19/7</f>
        <v>47.142857142857146</v>
      </c>
      <c r="AU16" s="247">
        <f>AU13*'Data Entry'!$D$19/7</f>
        <v>48</v>
      </c>
      <c r="AV16" s="247">
        <f>AV13*'Data Entry'!$D$19/7</f>
        <v>48.857142857142854</v>
      </c>
      <c r="AW16" s="247">
        <f>AW13*'Data Entry'!$D$19/7</f>
        <v>49.714285714285715</v>
      </c>
      <c r="AX16" s="247">
        <f>AX13*'Data Entry'!$D$19/7</f>
        <v>50.142857142857146</v>
      </c>
      <c r="AY16" s="247">
        <f>AY13*'Data Entry'!$D$19/7</f>
        <v>50.571428571428569</v>
      </c>
      <c r="AZ16" s="247">
        <f>AZ13*'Data Entry'!$D$19/7</f>
        <v>51</v>
      </c>
      <c r="BA16" s="247">
        <f>BA13*'Data Entry'!$D$19/7</f>
        <v>51.428571428571431</v>
      </c>
      <c r="BB16" s="247">
        <f>BB13*'Data Entry'!$D$19/7</f>
        <v>51.857142857142854</v>
      </c>
      <c r="BC16" s="247">
        <f>BC13*'Data Entry'!$D$19/7</f>
        <v>52.285714285714285</v>
      </c>
      <c r="BD16" s="247">
        <f>BD13*'Data Entry'!$D$19/7</f>
        <v>52.714285714285715</v>
      </c>
      <c r="BE16" s="247">
        <f>BE13*'Data Entry'!$D$19/7</f>
        <v>53.142857142857146</v>
      </c>
      <c r="BF16" s="247">
        <f>BF13*'Data Entry'!$D$19/7</f>
        <v>53.571428571428569</v>
      </c>
      <c r="BG16" s="247">
        <f>BG13*'Data Entry'!$D$19/7</f>
        <v>54</v>
      </c>
      <c r="BH16" s="247">
        <f>BH13*'Data Entry'!$D$19/7</f>
        <v>54.428571428571431</v>
      </c>
      <c r="BI16" s="247">
        <f>BI13*'Data Entry'!$D$19/7</f>
        <v>54.857142857142854</v>
      </c>
      <c r="BJ16" s="247"/>
      <c r="BK16" s="212"/>
      <c r="BL16" s="360"/>
      <c r="BM16" s="360"/>
      <c r="BN16" s="360"/>
      <c r="BO16" s="360"/>
      <c r="BP16" s="360"/>
      <c r="BQ16" s="395"/>
      <c r="BR16" s="396"/>
      <c r="BS16" s="396"/>
      <c r="BT16" s="396"/>
      <c r="BU16" s="396"/>
      <c r="BV16" s="136"/>
    </row>
    <row r="17" spans="1:74">
      <c r="A17" s="207" t="s">
        <v>286</v>
      </c>
      <c r="B17" s="248">
        <f>SUM(B15:B16)</f>
        <v>9.4285714285714288</v>
      </c>
      <c r="C17" s="248">
        <f t="shared" ref="C17:M17" si="104">SUM(C15:C16)</f>
        <v>10.285714285714286</v>
      </c>
      <c r="D17" s="248">
        <f t="shared" si="104"/>
        <v>11.142857142857142</v>
      </c>
      <c r="E17" s="248">
        <f t="shared" si="104"/>
        <v>12</v>
      </c>
      <c r="F17" s="248">
        <f t="shared" si="104"/>
        <v>12.857142857142858</v>
      </c>
      <c r="G17" s="248">
        <f t="shared" si="104"/>
        <v>13.714285714285714</v>
      </c>
      <c r="H17" s="248">
        <f t="shared" si="104"/>
        <v>14.571428571428571</v>
      </c>
      <c r="I17" s="248">
        <f t="shared" si="104"/>
        <v>15.428571428571429</v>
      </c>
      <c r="J17" s="248">
        <f t="shared" si="104"/>
        <v>16.285714285714285</v>
      </c>
      <c r="K17" s="248">
        <f t="shared" si="104"/>
        <v>17.142857142857142</v>
      </c>
      <c r="L17" s="248">
        <f t="shared" si="104"/>
        <v>18</v>
      </c>
      <c r="M17" s="248">
        <f t="shared" si="104"/>
        <v>18.857142857142858</v>
      </c>
      <c r="N17" s="248">
        <f t="shared" ref="N17" si="105">SUM(N15:N16)</f>
        <v>19.714285714285715</v>
      </c>
      <c r="O17" s="248">
        <f t="shared" ref="O17" si="106">SUM(O15:O16)</f>
        <v>20.571428571428573</v>
      </c>
      <c r="P17" s="248">
        <f t="shared" ref="P17" si="107">SUM(P15:P16)</f>
        <v>21.428571428571427</v>
      </c>
      <c r="Q17" s="248">
        <f t="shared" ref="Q17" si="108">SUM(Q15:Q16)</f>
        <v>22.285714285714285</v>
      </c>
      <c r="R17" s="248">
        <f t="shared" ref="R17" si="109">SUM(R15:R16)</f>
        <v>23.142857142857142</v>
      </c>
      <c r="S17" s="248">
        <f t="shared" ref="S17" si="110">SUM(S15:S16)</f>
        <v>24</v>
      </c>
      <c r="T17" s="248">
        <f t="shared" ref="T17" si="111">SUM(T15:T16)</f>
        <v>24.857142857142858</v>
      </c>
      <c r="U17" s="248">
        <f t="shared" ref="U17" si="112">SUM(U15:U16)</f>
        <v>25.714285714285715</v>
      </c>
      <c r="V17" s="248">
        <f t="shared" ref="V17" si="113">SUM(V15:V16)</f>
        <v>26.571428571428573</v>
      </c>
      <c r="W17" s="248">
        <f t="shared" ref="W17" si="114">SUM(W15:W16)</f>
        <v>27.428571428571427</v>
      </c>
      <c r="X17" s="248">
        <f t="shared" ref="X17" si="115">SUM(X15:X16)</f>
        <v>28.285714285714285</v>
      </c>
      <c r="Y17" s="248">
        <f t="shared" ref="Y17" si="116">SUM(Y15:Y16)</f>
        <v>29.142857142857142</v>
      </c>
      <c r="Z17" s="248">
        <f t="shared" ref="Z17" si="117">SUM(Z15:Z16)</f>
        <v>30</v>
      </c>
      <c r="AA17" s="248">
        <f t="shared" ref="AA17" si="118">SUM(AA15:AA16)</f>
        <v>30.857142857142858</v>
      </c>
      <c r="AB17" s="248">
        <f t="shared" ref="AB17" si="119">SUM(AB15:AB16)</f>
        <v>31.714285714285715</v>
      </c>
      <c r="AC17" s="248">
        <f t="shared" ref="AC17" si="120">SUM(AC15:AC16)</f>
        <v>32.571428571428569</v>
      </c>
      <c r="AD17" s="248">
        <f t="shared" ref="AD17" si="121">SUM(AD15:AD16)</f>
        <v>33.428571428571431</v>
      </c>
      <c r="AE17" s="248">
        <f t="shared" ref="AE17" si="122">SUM(AE15:AE16)</f>
        <v>34.285714285714285</v>
      </c>
      <c r="AF17" s="248">
        <f t="shared" ref="AF17" si="123">SUM(AF15:AF16)</f>
        <v>35.142857142857146</v>
      </c>
      <c r="AG17" s="248">
        <f t="shared" ref="AG17" si="124">SUM(AG15:AG16)</f>
        <v>36</v>
      </c>
      <c r="AH17" s="248">
        <f t="shared" ref="AH17" si="125">SUM(AH15:AH16)</f>
        <v>36.857142857142854</v>
      </c>
      <c r="AI17" s="248">
        <f t="shared" ref="AI17" si="126">SUM(AI15:AI16)</f>
        <v>37.714285714285715</v>
      </c>
      <c r="AJ17" s="248">
        <f t="shared" ref="AJ17" si="127">SUM(AJ15:AJ16)</f>
        <v>38.571428571428569</v>
      </c>
      <c r="AK17" s="248">
        <f t="shared" ref="AK17" si="128">SUM(AK15:AK16)</f>
        <v>39.428571428571431</v>
      </c>
      <c r="AL17" s="248">
        <f t="shared" ref="AL17" si="129">SUM(AL15:AL16)</f>
        <v>40.285714285714285</v>
      </c>
      <c r="AM17" s="248">
        <f t="shared" ref="AM17" si="130">SUM(AM15:AM16)</f>
        <v>41.142857142857146</v>
      </c>
      <c r="AN17" s="248">
        <f t="shared" ref="AN17" si="131">SUM(AN15:AN16)</f>
        <v>42</v>
      </c>
      <c r="AO17" s="248">
        <f t="shared" ref="AO17" si="132">SUM(AO15:AO16)</f>
        <v>42.857142857142854</v>
      </c>
      <c r="AP17" s="248">
        <f t="shared" ref="AP17" si="133">SUM(AP15:AP16)</f>
        <v>43.714285714285715</v>
      </c>
      <c r="AQ17" s="248">
        <f t="shared" ref="AQ17" si="134">SUM(AQ15:AQ16)</f>
        <v>44.571428571428569</v>
      </c>
      <c r="AR17" s="248">
        <f t="shared" ref="AR17" si="135">SUM(AR15:AR16)</f>
        <v>45.428571428571431</v>
      </c>
      <c r="AS17" s="248">
        <f t="shared" ref="AS17" si="136">SUM(AS15:AS16)</f>
        <v>46.285714285714285</v>
      </c>
      <c r="AT17" s="248">
        <f t="shared" ref="AT17" si="137">SUM(AT15:AT16)</f>
        <v>47.142857142857146</v>
      </c>
      <c r="AU17" s="248">
        <f t="shared" ref="AU17" si="138">SUM(AU15:AU16)</f>
        <v>48</v>
      </c>
      <c r="AV17" s="248">
        <f t="shared" ref="AV17" si="139">SUM(AV15:AV16)</f>
        <v>48.857142857142854</v>
      </c>
      <c r="AW17" s="248">
        <f t="shared" ref="AW17" si="140">SUM(AW15:AW16)</f>
        <v>49.714285714285715</v>
      </c>
      <c r="AX17" s="248">
        <f t="shared" ref="AX17" si="141">SUM(AX15:AX16)</f>
        <v>50.142857142857146</v>
      </c>
      <c r="AY17" s="248">
        <f t="shared" ref="AY17" si="142">SUM(AY15:AY16)</f>
        <v>50.571428571428569</v>
      </c>
      <c r="AZ17" s="248">
        <f t="shared" ref="AZ17" si="143">SUM(AZ15:AZ16)</f>
        <v>51</v>
      </c>
      <c r="BA17" s="248">
        <f t="shared" ref="BA17" si="144">SUM(BA15:BA16)</f>
        <v>51.428571428571431</v>
      </c>
      <c r="BB17" s="248">
        <f t="shared" ref="BB17" si="145">SUM(BB15:BB16)</f>
        <v>51.857142857142854</v>
      </c>
      <c r="BC17" s="248">
        <f t="shared" ref="BC17" si="146">SUM(BC15:BC16)</f>
        <v>52.285714285714285</v>
      </c>
      <c r="BD17" s="248">
        <f t="shared" ref="BD17" si="147">SUM(BD15:BD16)</f>
        <v>52.714285714285715</v>
      </c>
      <c r="BE17" s="248">
        <f t="shared" ref="BE17" si="148">SUM(BE15:BE16)</f>
        <v>53.142857142857146</v>
      </c>
      <c r="BF17" s="248">
        <f t="shared" ref="BF17" si="149">SUM(BF15:BF16)</f>
        <v>53.571428571428569</v>
      </c>
      <c r="BG17" s="248">
        <f t="shared" ref="BG17" si="150">SUM(BG15:BG16)</f>
        <v>54</v>
      </c>
      <c r="BH17" s="248">
        <f t="shared" ref="BH17" si="151">SUM(BH15:BH16)</f>
        <v>54.428571428571431</v>
      </c>
      <c r="BI17" s="248">
        <f t="shared" ref="BI17" si="152">SUM(BI15:BI16)</f>
        <v>54.857142857142854</v>
      </c>
      <c r="BJ17" s="337"/>
      <c r="BK17" s="212">
        <f>M17</f>
        <v>18.857142857142858</v>
      </c>
      <c r="BL17" s="360">
        <f>Y17</f>
        <v>29.142857142857142</v>
      </c>
      <c r="BM17" s="360">
        <f>AK17</f>
        <v>39.428571428571431</v>
      </c>
      <c r="BN17" s="360">
        <f>AW17</f>
        <v>49.714285714285715</v>
      </c>
      <c r="BO17" s="360">
        <f>BI17</f>
        <v>54.857142857142854</v>
      </c>
      <c r="BP17" s="360"/>
      <c r="BQ17" s="395"/>
      <c r="BR17" s="396"/>
      <c r="BS17" s="396"/>
      <c r="BT17" s="396"/>
      <c r="BU17" s="396"/>
      <c r="BV17" s="136"/>
    </row>
    <row r="18" spans="1:74" s="265" customFormat="1">
      <c r="A18" s="246" t="s">
        <v>294</v>
      </c>
      <c r="B18" s="263">
        <f>B17/'Data Entry'!$D$29</f>
        <v>4.125</v>
      </c>
      <c r="C18" s="263">
        <f>C17/'Data Entry'!$D$29</f>
        <v>4.5000000000000009</v>
      </c>
      <c r="D18" s="263">
        <f>D17/'Data Entry'!$D$29</f>
        <v>4.875</v>
      </c>
      <c r="E18" s="263">
        <f>E17/'Data Entry'!$D$29</f>
        <v>5.25</v>
      </c>
      <c r="F18" s="263">
        <f>F17/'Data Entry'!$D$29</f>
        <v>5.6250000000000009</v>
      </c>
      <c r="G18" s="263">
        <f>G17/'Data Entry'!$D$29</f>
        <v>6</v>
      </c>
      <c r="H18" s="263">
        <f>H17/'Data Entry'!$D$29</f>
        <v>6.375</v>
      </c>
      <c r="I18" s="263">
        <f>I17/'Data Entry'!$D$29</f>
        <v>6.7500000000000009</v>
      </c>
      <c r="J18" s="263">
        <f>J17/'Data Entry'!$D$29</f>
        <v>7.125</v>
      </c>
      <c r="K18" s="263">
        <f>K17/'Data Entry'!$D$29</f>
        <v>7.5</v>
      </c>
      <c r="L18" s="263">
        <f>L17/'Data Entry'!$D$29</f>
        <v>7.875</v>
      </c>
      <c r="M18" s="263">
        <f>M17/'Data Entry'!$D$29</f>
        <v>8.25</v>
      </c>
      <c r="N18" s="263">
        <f>N17/'Data Entry'!$D$29</f>
        <v>8.6250000000000018</v>
      </c>
      <c r="O18" s="263">
        <f>O17/'Data Entry'!$D$29</f>
        <v>9.0000000000000018</v>
      </c>
      <c r="P18" s="263">
        <f>P17/'Data Entry'!$D$29</f>
        <v>9.375</v>
      </c>
      <c r="Q18" s="263">
        <f>Q17/'Data Entry'!$D$29</f>
        <v>9.75</v>
      </c>
      <c r="R18" s="263">
        <f>R17/'Data Entry'!$D$29</f>
        <v>10.125</v>
      </c>
      <c r="S18" s="263">
        <f>S17/'Data Entry'!$D$29</f>
        <v>10.5</v>
      </c>
      <c r="T18" s="263">
        <f>T17/'Data Entry'!$D$29</f>
        <v>10.875</v>
      </c>
      <c r="U18" s="263">
        <f>U17/'Data Entry'!$D$29</f>
        <v>11.250000000000002</v>
      </c>
      <c r="V18" s="263">
        <f>V17/'Data Entry'!$D$29</f>
        <v>11.625000000000002</v>
      </c>
      <c r="W18" s="263">
        <f>W17/'Data Entry'!$D$29</f>
        <v>12</v>
      </c>
      <c r="X18" s="263">
        <f>X17/'Data Entry'!$D$29</f>
        <v>12.375</v>
      </c>
      <c r="Y18" s="263">
        <f>Y17/'Data Entry'!$D$29</f>
        <v>12.75</v>
      </c>
      <c r="Z18" s="263">
        <f>Z17/'Data Entry'!$D$29</f>
        <v>13.125</v>
      </c>
      <c r="AA18" s="263">
        <f>AA17/'Data Entry'!$D$29</f>
        <v>13.500000000000002</v>
      </c>
      <c r="AB18" s="263">
        <f>AB17/'Data Entry'!$D$29</f>
        <v>13.875000000000002</v>
      </c>
      <c r="AC18" s="263">
        <f>AC17/'Data Entry'!$D$29</f>
        <v>14.25</v>
      </c>
      <c r="AD18" s="263">
        <f>AD17/'Data Entry'!$D$29</f>
        <v>14.625000000000002</v>
      </c>
      <c r="AE18" s="263">
        <f>AE17/'Data Entry'!$D$29</f>
        <v>15</v>
      </c>
      <c r="AF18" s="263">
        <f>AF17/'Data Entry'!$D$29</f>
        <v>15.375000000000002</v>
      </c>
      <c r="AG18" s="263">
        <f>AG17/'Data Entry'!$D$29</f>
        <v>15.75</v>
      </c>
      <c r="AH18" s="263">
        <f>AH17/'Data Entry'!$D$29</f>
        <v>16.125</v>
      </c>
      <c r="AI18" s="263">
        <f>AI17/'Data Entry'!$D$29</f>
        <v>16.5</v>
      </c>
      <c r="AJ18" s="263">
        <f>AJ17/'Data Entry'!$D$29</f>
        <v>16.875</v>
      </c>
      <c r="AK18" s="263">
        <f>AK17/'Data Entry'!$D$29</f>
        <v>17.250000000000004</v>
      </c>
      <c r="AL18" s="263">
        <f>AL17/'Data Entry'!$D$29</f>
        <v>17.625</v>
      </c>
      <c r="AM18" s="263">
        <f>AM17/'Data Entry'!$D$29</f>
        <v>18.000000000000004</v>
      </c>
      <c r="AN18" s="263">
        <f>AN17/'Data Entry'!$D$29</f>
        <v>18.375</v>
      </c>
      <c r="AO18" s="263">
        <f>AO17/'Data Entry'!$D$29</f>
        <v>18.75</v>
      </c>
      <c r="AP18" s="263">
        <f>AP17/'Data Entry'!$D$29</f>
        <v>19.125</v>
      </c>
      <c r="AQ18" s="263">
        <f>AQ17/'Data Entry'!$D$29</f>
        <v>19.5</v>
      </c>
      <c r="AR18" s="263">
        <f>AR17/'Data Entry'!$D$29</f>
        <v>19.875000000000004</v>
      </c>
      <c r="AS18" s="263">
        <f>AS17/'Data Entry'!$D$29</f>
        <v>20.25</v>
      </c>
      <c r="AT18" s="263">
        <f>AT17/'Data Entry'!$D$29</f>
        <v>20.625000000000004</v>
      </c>
      <c r="AU18" s="263">
        <f>AU17/'Data Entry'!$D$29</f>
        <v>21</v>
      </c>
      <c r="AV18" s="263">
        <f>AV17/'Data Entry'!$D$29</f>
        <v>21.375</v>
      </c>
      <c r="AW18" s="263">
        <f>AW17/'Data Entry'!$D$29</f>
        <v>21.75</v>
      </c>
      <c r="AX18" s="263">
        <f>AX17/'Data Entry'!$D$29</f>
        <v>21.937500000000004</v>
      </c>
      <c r="AY18" s="263">
        <f>AY17/'Data Entry'!$D$29</f>
        <v>22.125</v>
      </c>
      <c r="AZ18" s="263">
        <f>AZ17/'Data Entry'!$D$29</f>
        <v>22.3125</v>
      </c>
      <c r="BA18" s="263">
        <f>BA17/'Data Entry'!$D$29</f>
        <v>22.500000000000004</v>
      </c>
      <c r="BB18" s="263">
        <f>BB17/'Data Entry'!$D$29</f>
        <v>22.6875</v>
      </c>
      <c r="BC18" s="263">
        <f>BC17/'Data Entry'!$D$29</f>
        <v>22.875</v>
      </c>
      <c r="BD18" s="263">
        <f>BD17/'Data Entry'!$D$29</f>
        <v>23.0625</v>
      </c>
      <c r="BE18" s="263">
        <f>BE17/'Data Entry'!$D$29</f>
        <v>23.250000000000004</v>
      </c>
      <c r="BF18" s="263">
        <f>BF17/'Data Entry'!$D$29</f>
        <v>23.4375</v>
      </c>
      <c r="BG18" s="263">
        <f>BG17/'Data Entry'!$D$29</f>
        <v>23.625</v>
      </c>
      <c r="BH18" s="263">
        <f>BH17/'Data Entry'!$D$29</f>
        <v>23.812500000000004</v>
      </c>
      <c r="BI18" s="263">
        <f>BI17/'Data Entry'!$D$29</f>
        <v>24</v>
      </c>
      <c r="BJ18" s="263"/>
      <c r="BK18" s="212">
        <f>M18</f>
        <v>8.25</v>
      </c>
      <c r="BL18" s="360">
        <f>Y18</f>
        <v>12.75</v>
      </c>
      <c r="BM18" s="360">
        <f>AK18</f>
        <v>17.250000000000004</v>
      </c>
      <c r="BN18" s="360">
        <f>AW18</f>
        <v>21.75</v>
      </c>
      <c r="BO18" s="360">
        <f>BI18</f>
        <v>24</v>
      </c>
      <c r="BP18" s="361"/>
      <c r="BQ18" s="395"/>
      <c r="BR18" s="396"/>
      <c r="BS18" s="396"/>
      <c r="BT18" s="396"/>
      <c r="BU18" s="396"/>
      <c r="BV18" s="264"/>
    </row>
    <row r="19" spans="1:74">
      <c r="A19" s="245" t="s">
        <v>317</v>
      </c>
      <c r="B19" s="203">
        <f>1+(B78/('Data Entry'!$D$86/12))</f>
        <v>1.2572019999999999</v>
      </c>
      <c r="C19" s="203">
        <f>1+(C78/('Data Entry'!$D$86/12))</f>
        <v>1.2805839999999999</v>
      </c>
      <c r="D19" s="203">
        <f>1+(D78/('Data Entry'!$D$86/12))</f>
        <v>1.303966</v>
      </c>
      <c r="E19" s="203">
        <f>1+(E78/('Data Entry'!$D$86/12))</f>
        <v>1.327348</v>
      </c>
      <c r="F19" s="203">
        <f>1+(F78/('Data Entry'!$D$86/12))</f>
        <v>1.35073</v>
      </c>
      <c r="G19" s="203">
        <f>1+(G78/('Data Entry'!$D$86/12))</f>
        <v>1.374112</v>
      </c>
      <c r="H19" s="203">
        <f>1+(H78/('Data Entry'!$D$86/12))</f>
        <v>1.397494</v>
      </c>
      <c r="I19" s="203">
        <f>1+(I78/('Data Entry'!$D$86/12))</f>
        <v>1.420876</v>
      </c>
      <c r="J19" s="203">
        <f>1+(J78/('Data Entry'!$D$86/12))</f>
        <v>1.444258</v>
      </c>
      <c r="K19" s="203">
        <f>1+(K78/('Data Entry'!$D$86/12))</f>
        <v>1.4676399999999998</v>
      </c>
      <c r="L19" s="203">
        <f>1+(L78/('Data Entry'!$D$86/12))</f>
        <v>1.4910220000000001</v>
      </c>
      <c r="M19" s="203">
        <f>1+(M78/('Data Entry'!$D$86/12))</f>
        <v>1.5144039999999999</v>
      </c>
      <c r="N19" s="203">
        <f>1+(N78/('Data Entry'!$D$86/12))</f>
        <v>1.5377860000000001</v>
      </c>
      <c r="O19" s="203">
        <f>1+(O78/('Data Entry'!$D$86/12))</f>
        <v>1.5611679999999999</v>
      </c>
      <c r="P19" s="203">
        <f>1+(P78/('Data Entry'!$D$86/12))</f>
        <v>1.5845500000000001</v>
      </c>
      <c r="Q19" s="203">
        <f>1+(Q78/('Data Entry'!$D$86/12))</f>
        <v>1.6079320000000001</v>
      </c>
      <c r="R19" s="203">
        <f>1+(R78/('Data Entry'!$D$86/12))</f>
        <v>1.6313140000000002</v>
      </c>
      <c r="S19" s="203">
        <f>1+(S78/('Data Entry'!$D$86/12))</f>
        <v>1.6546959999999999</v>
      </c>
      <c r="T19" s="203">
        <f>1+(T78/('Data Entry'!$D$86/12))</f>
        <v>1.678078</v>
      </c>
      <c r="U19" s="203">
        <f>1+(U78/('Data Entry'!$D$86/12))</f>
        <v>1.70146</v>
      </c>
      <c r="V19" s="203">
        <f>1+(V78/('Data Entry'!$D$86/12))</f>
        <v>1.724842</v>
      </c>
      <c r="W19" s="203">
        <f>1+(W78/('Data Entry'!$D$86/12))</f>
        <v>1.748224</v>
      </c>
      <c r="X19" s="203">
        <f>1+(X78/('Data Entry'!$D$86/12))</f>
        <v>1.7716060000000002</v>
      </c>
      <c r="Y19" s="203">
        <f>1+(Y78/('Data Entry'!$D$86/12))</f>
        <v>1.794988</v>
      </c>
      <c r="Z19" s="203">
        <f>1+(Z78/('Data Entry'!$D$86/12))</f>
        <v>1.81837</v>
      </c>
      <c r="AA19" s="203">
        <f>1+(AA78/('Data Entry'!$D$86/12))</f>
        <v>1.8417520000000001</v>
      </c>
      <c r="AB19" s="203">
        <f>1+(AB78/('Data Entry'!$D$86/12))</f>
        <v>1.8651340000000001</v>
      </c>
      <c r="AC19" s="203">
        <f>1+(AC78/('Data Entry'!$D$86/12))</f>
        <v>1.8885160000000001</v>
      </c>
      <c r="AD19" s="203">
        <f>1+(AD78/('Data Entry'!$D$86/12))</f>
        <v>1.9118979999999999</v>
      </c>
      <c r="AE19" s="203">
        <f>1+(AE78/('Data Entry'!$D$86/12))</f>
        <v>1.9352799999999999</v>
      </c>
      <c r="AF19" s="203">
        <f>1+(AF78/('Data Entry'!$D$86/12))</f>
        <v>1.9586619999999999</v>
      </c>
      <c r="AG19" s="203">
        <f>1+(AG78/('Data Entry'!$D$86/12))</f>
        <v>1.9820440000000001</v>
      </c>
      <c r="AH19" s="203">
        <f>1+(AH78/('Data Entry'!$D$86/12))</f>
        <v>2.0054259999999999</v>
      </c>
      <c r="AI19" s="203">
        <f>1+(AI78/('Data Entry'!$D$86/12))</f>
        <v>2.0288079999999997</v>
      </c>
      <c r="AJ19" s="203">
        <f>1+(AJ78/('Data Entry'!$D$86/12))</f>
        <v>2.05219</v>
      </c>
      <c r="AK19" s="203">
        <f>1+(AK78/('Data Entry'!$D$86/12))</f>
        <v>2.0755720000000002</v>
      </c>
      <c r="AL19" s="203">
        <f>1+(AL78/('Data Entry'!$D$86/12))</f>
        <v>2.098954</v>
      </c>
      <c r="AM19" s="203">
        <f>1+(AM78/('Data Entry'!$D$86/12))</f>
        <v>2.1223359999999998</v>
      </c>
      <c r="AN19" s="203">
        <f>1+(AN78/('Data Entry'!$D$86/12))</f>
        <v>2.145718</v>
      </c>
      <c r="AO19" s="203">
        <f>1+(AO78/('Data Entry'!$D$86/12))</f>
        <v>2.1691000000000003</v>
      </c>
      <c r="AP19" s="203">
        <f>1+(AP78/('Data Entry'!$D$86/12))</f>
        <v>2.192482</v>
      </c>
      <c r="AQ19" s="203">
        <f>1+(AQ78/('Data Entry'!$D$86/12))</f>
        <v>2.2158640000000003</v>
      </c>
      <c r="AR19" s="203">
        <f>1+(AR78/('Data Entry'!$D$86/12))</f>
        <v>2.2392459999999996</v>
      </c>
      <c r="AS19" s="203">
        <f>1+(AS78/('Data Entry'!$D$86/12))</f>
        <v>2.2626280000000003</v>
      </c>
      <c r="AT19" s="203">
        <f>1+(AT78/('Data Entry'!$D$86/12))</f>
        <v>2.2860100000000001</v>
      </c>
      <c r="AU19" s="203">
        <f>1+(AU78/('Data Entry'!$D$86/12))</f>
        <v>2.3093919999999999</v>
      </c>
      <c r="AV19" s="203">
        <f>1+(AV78/('Data Entry'!$D$86/12))</f>
        <v>2.3327739999999997</v>
      </c>
      <c r="AW19" s="203">
        <f>1+(AW78/('Data Entry'!$D$86/12))</f>
        <v>2.3561559999999999</v>
      </c>
      <c r="AX19" s="203">
        <f>1+(AX78/('Data Entry'!$D$86/12))</f>
        <v>2.3678469999999998</v>
      </c>
      <c r="AY19" s="203">
        <f>1+(AY78/('Data Entry'!$D$86/12))</f>
        <v>2.3795380000000002</v>
      </c>
      <c r="AZ19" s="203">
        <f>1+(AZ78/('Data Entry'!$D$86/12))</f>
        <v>2.391229</v>
      </c>
      <c r="BA19" s="203">
        <f>1+(BA78/('Data Entry'!$D$86/12))</f>
        <v>2.4029199999999999</v>
      </c>
      <c r="BB19" s="203">
        <f>1+(BB78/('Data Entry'!$D$86/12))</f>
        <v>2.4146109999999998</v>
      </c>
      <c r="BC19" s="203">
        <f>1+(BC78/('Data Entry'!$D$86/12))</f>
        <v>2.4263019999999997</v>
      </c>
      <c r="BD19" s="203">
        <f>1+(BD78/('Data Entry'!$D$86/12))</f>
        <v>2.4379930000000001</v>
      </c>
      <c r="BE19" s="203">
        <f>1+(BE78/('Data Entry'!$D$86/12))</f>
        <v>2.449684</v>
      </c>
      <c r="BF19" s="203">
        <f>1+(BF78/('Data Entry'!$D$86/12))</f>
        <v>2.4613750000000003</v>
      </c>
      <c r="BG19" s="203">
        <f>1+(BG78/('Data Entry'!$D$86/12))</f>
        <v>2.4730660000000002</v>
      </c>
      <c r="BH19" s="203">
        <f>1+(BH78/('Data Entry'!$D$86/12))</f>
        <v>2.4847570000000001</v>
      </c>
      <c r="BI19" s="203">
        <f>1+(BI78/('Data Entry'!$D$86/12))</f>
        <v>2.496448</v>
      </c>
      <c r="BJ19" s="203"/>
      <c r="BK19" s="212">
        <f>M19</f>
        <v>1.5144039999999999</v>
      </c>
      <c r="BL19" s="360">
        <f>Y19</f>
        <v>1.794988</v>
      </c>
      <c r="BM19" s="360">
        <f>AK19</f>
        <v>2.0755720000000002</v>
      </c>
      <c r="BN19" s="360">
        <f>AW19</f>
        <v>2.3561559999999999</v>
      </c>
      <c r="BO19" s="360">
        <f>BI19</f>
        <v>2.496448</v>
      </c>
      <c r="BP19" s="360"/>
      <c r="BQ19" s="395"/>
      <c r="BR19" s="396"/>
      <c r="BS19" s="396"/>
      <c r="BT19" s="396"/>
      <c r="BU19" s="396"/>
      <c r="BV19" s="136"/>
    </row>
    <row r="20" spans="1:74">
      <c r="A20" s="245"/>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12"/>
      <c r="BL20" s="360"/>
      <c r="BM20" s="360"/>
      <c r="BN20" s="360"/>
      <c r="BO20" s="360"/>
      <c r="BP20" s="360"/>
      <c r="BQ20" s="395"/>
      <c r="BR20" s="396"/>
      <c r="BS20" s="396"/>
      <c r="BT20" s="396"/>
      <c r="BU20" s="396"/>
      <c r="BV20" s="136"/>
    </row>
    <row r="21" spans="1:74">
      <c r="A21" s="71" t="s">
        <v>460</v>
      </c>
      <c r="B21" s="131"/>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32"/>
      <c r="BL21" s="362"/>
      <c r="BM21" s="362"/>
      <c r="BN21" s="362"/>
      <c r="BO21" s="362"/>
      <c r="BP21" s="362"/>
      <c r="BQ21" s="397"/>
      <c r="BR21" s="144"/>
      <c r="BS21" s="144"/>
      <c r="BT21" s="144"/>
      <c r="BU21" s="144"/>
      <c r="BV21" s="136"/>
    </row>
    <row r="22" spans="1:74">
      <c r="A22" s="260" t="s">
        <v>212</v>
      </c>
      <c r="B22" s="147">
        <f>(B9*'Data Entry'!$D$14*'Data Entry'!$D$18+B13*'Data Entry'!$D$15*'Data Entry'!$D$19)*$BV$34</f>
        <v>857.34</v>
      </c>
      <c r="C22" s="147">
        <f>(C9*'Data Entry'!$D$14*'Data Entry'!$D$18+C13*'Data Entry'!$D$15*'Data Entry'!$D$19)*$BV$34</f>
        <v>935.28</v>
      </c>
      <c r="D22" s="147">
        <f>(D9*'Data Entry'!$D$14*'Data Entry'!$D$18+D13*'Data Entry'!$D$15*'Data Entry'!$D$19)*$BV$34</f>
        <v>1013.22</v>
      </c>
      <c r="E22" s="147">
        <f>(E9*'Data Entry'!$D$14*'Data Entry'!$D$18+E13*'Data Entry'!$D$15*'Data Entry'!$D$19)*$BV$34</f>
        <v>1091.1600000000001</v>
      </c>
      <c r="F22" s="147">
        <f>(F9*'Data Entry'!$D$14*'Data Entry'!$D$18+F13*'Data Entry'!$D$15*'Data Entry'!$D$19)*$BV$34</f>
        <v>1169.0999999999999</v>
      </c>
      <c r="G22" s="147">
        <f>(G9*'Data Entry'!$D$14*'Data Entry'!$D$18+G13*'Data Entry'!$D$15*'Data Entry'!$D$19)*$BV$34</f>
        <v>1247.04</v>
      </c>
      <c r="H22" s="147">
        <f>(H9*'Data Entry'!$D$14*'Data Entry'!$D$18+H13*'Data Entry'!$D$15*'Data Entry'!$D$19)*$BV$34</f>
        <v>1324.98</v>
      </c>
      <c r="I22" s="147">
        <f>(I9*'Data Entry'!$D$14*'Data Entry'!$D$18+I13*'Data Entry'!$D$15*'Data Entry'!$D$19)*$BV$34</f>
        <v>1402.92</v>
      </c>
      <c r="J22" s="147">
        <f>(J9*'Data Entry'!$D$14*'Data Entry'!$D$18+J13*'Data Entry'!$D$15*'Data Entry'!$D$19)*$BV$34</f>
        <v>1480.8600000000001</v>
      </c>
      <c r="K22" s="147">
        <f>(K9*'Data Entry'!$D$14*'Data Entry'!$D$18+K13*'Data Entry'!$D$15*'Data Entry'!$D$19)*$BV$34</f>
        <v>1558.8</v>
      </c>
      <c r="L22" s="147">
        <f>(L9*'Data Entry'!$D$14*'Data Entry'!$D$18+L13*'Data Entry'!$D$15*'Data Entry'!$D$19)*$BV$34</f>
        <v>1636.74</v>
      </c>
      <c r="M22" s="147">
        <f>(M9*'Data Entry'!$D$14*'Data Entry'!$D$18+M13*'Data Entry'!$D$15*'Data Entry'!$D$19)*$BV$34</f>
        <v>1714.68</v>
      </c>
      <c r="N22" s="147">
        <f>(N9*'Data Entry'!$D$14*'Data Entry'!$D$18+N13*'Data Entry'!$D$15*'Data Entry'!$D$19)*$BV$34</f>
        <v>1792.6200000000001</v>
      </c>
      <c r="O22" s="147">
        <f>(O9*'Data Entry'!$D$14*'Data Entry'!$D$18+O13*'Data Entry'!$D$15*'Data Entry'!$D$19)*$BV$34</f>
        <v>1870.56</v>
      </c>
      <c r="P22" s="147">
        <f>(P9*'Data Entry'!$D$14*'Data Entry'!$D$18+P13*'Data Entry'!$D$15*'Data Entry'!$D$19)*$BV$34</f>
        <v>1948.5</v>
      </c>
      <c r="Q22" s="147">
        <f>(Q9*'Data Entry'!$D$14*'Data Entry'!$D$18+Q13*'Data Entry'!$D$15*'Data Entry'!$D$19)*$BV$34</f>
        <v>2026.44</v>
      </c>
      <c r="R22" s="147">
        <f>(R9*'Data Entry'!$D$14*'Data Entry'!$D$18+R13*'Data Entry'!$D$15*'Data Entry'!$D$19)*$BV$34</f>
        <v>2104.38</v>
      </c>
      <c r="S22" s="147">
        <f>(S9*'Data Entry'!$D$14*'Data Entry'!$D$18+S13*'Data Entry'!$D$15*'Data Entry'!$D$19)*$BV$34</f>
        <v>2182.3200000000002</v>
      </c>
      <c r="T22" s="147">
        <f>(T9*'Data Entry'!$D$14*'Data Entry'!$D$18+T13*'Data Entry'!$D$15*'Data Entry'!$D$19)*$BV$34</f>
        <v>2260.2600000000002</v>
      </c>
      <c r="U22" s="147">
        <f>(U9*'Data Entry'!$D$14*'Data Entry'!$D$18+U13*'Data Entry'!$D$15*'Data Entry'!$D$19)*$BV$34</f>
        <v>2338.1999999999998</v>
      </c>
      <c r="V22" s="147">
        <f>(V9*'Data Entry'!$D$14*'Data Entry'!$D$18+V13*'Data Entry'!$D$15*'Data Entry'!$D$19)*$BV$34</f>
        <v>2416.14</v>
      </c>
      <c r="W22" s="147">
        <f>(W9*'Data Entry'!$D$14*'Data Entry'!$D$18+W13*'Data Entry'!$D$15*'Data Entry'!$D$19)*$BV$34</f>
        <v>2494.08</v>
      </c>
      <c r="X22" s="147">
        <f>(X9*'Data Entry'!$D$14*'Data Entry'!$D$18+X13*'Data Entry'!$D$15*'Data Entry'!$D$19)*$BV$34</f>
        <v>2572.02</v>
      </c>
      <c r="Y22" s="147">
        <f>(Y9*'Data Entry'!$D$14*'Data Entry'!$D$18+Y13*'Data Entry'!$D$15*'Data Entry'!$D$19)*$BV$34</f>
        <v>2649.96</v>
      </c>
      <c r="Z22" s="147">
        <f>(Z9*'Data Entry'!$D$14*'Data Entry'!$D$18+Z13*'Data Entry'!$D$15*'Data Entry'!$D$19)*$BV$34</f>
        <v>2727.9</v>
      </c>
      <c r="AA22" s="147">
        <f>(AA9*'Data Entry'!$D$14*'Data Entry'!$D$18+AA13*'Data Entry'!$D$15*'Data Entry'!$D$19)*$BV$34</f>
        <v>2805.84</v>
      </c>
      <c r="AB22" s="147">
        <f>(AB9*'Data Entry'!$D$14*'Data Entry'!$D$18+AB13*'Data Entry'!$D$15*'Data Entry'!$D$19)*$BV$34</f>
        <v>2883.78</v>
      </c>
      <c r="AC22" s="147">
        <f>(AC9*'Data Entry'!$D$14*'Data Entry'!$D$18+AC13*'Data Entry'!$D$15*'Data Entry'!$D$19)*$BV$34</f>
        <v>2961.7200000000003</v>
      </c>
      <c r="AD22" s="147">
        <f>(AD9*'Data Entry'!$D$14*'Data Entry'!$D$18+AD13*'Data Entry'!$D$15*'Data Entry'!$D$19)*$BV$34</f>
        <v>3039.66</v>
      </c>
      <c r="AE22" s="147">
        <f>(AE9*'Data Entry'!$D$14*'Data Entry'!$D$18+AE13*'Data Entry'!$D$15*'Data Entry'!$D$19)*$BV$34</f>
        <v>3117.6</v>
      </c>
      <c r="AF22" s="147">
        <f>(AF9*'Data Entry'!$D$14*'Data Entry'!$D$18+AF13*'Data Entry'!$D$15*'Data Entry'!$D$19)*$BV$34</f>
        <v>3195.54</v>
      </c>
      <c r="AG22" s="147">
        <f>(AG9*'Data Entry'!$D$14*'Data Entry'!$D$18+AG13*'Data Entry'!$D$15*'Data Entry'!$D$19)*$BV$34</f>
        <v>3273.48</v>
      </c>
      <c r="AH22" s="147">
        <f>(AH9*'Data Entry'!$D$14*'Data Entry'!$D$18+AH13*'Data Entry'!$D$15*'Data Entry'!$D$19)*$BV$34</f>
        <v>3351.42</v>
      </c>
      <c r="AI22" s="147">
        <f>(AI9*'Data Entry'!$D$14*'Data Entry'!$D$18+AI13*'Data Entry'!$D$15*'Data Entry'!$D$19)*$BV$34</f>
        <v>3429.36</v>
      </c>
      <c r="AJ22" s="147">
        <f>(AJ9*'Data Entry'!$D$14*'Data Entry'!$D$18+AJ13*'Data Entry'!$D$15*'Data Entry'!$D$19)*$BV$34</f>
        <v>3507.3</v>
      </c>
      <c r="AK22" s="147">
        <f>(AK9*'Data Entry'!$D$14*'Data Entry'!$D$18+AK13*'Data Entry'!$D$15*'Data Entry'!$D$19)*$BV$34</f>
        <v>3585.2400000000002</v>
      </c>
      <c r="AL22" s="147">
        <f>(AL9*'Data Entry'!$D$14*'Data Entry'!$D$18+AL13*'Data Entry'!$D$15*'Data Entry'!$D$19)*$BV$34</f>
        <v>3663.18</v>
      </c>
      <c r="AM22" s="147">
        <f>(AM9*'Data Entry'!$D$14*'Data Entry'!$D$18+AM13*'Data Entry'!$D$15*'Data Entry'!$D$19)*$BV$34</f>
        <v>3741.12</v>
      </c>
      <c r="AN22" s="147">
        <f>(AN9*'Data Entry'!$D$14*'Data Entry'!$D$18+AN13*'Data Entry'!$D$15*'Data Entry'!$D$19)*$BV$34</f>
        <v>3819.06</v>
      </c>
      <c r="AO22" s="147">
        <f>(AO9*'Data Entry'!$D$14*'Data Entry'!$D$18+AO13*'Data Entry'!$D$15*'Data Entry'!$D$19)*$BV$34</f>
        <v>3897</v>
      </c>
      <c r="AP22" s="147">
        <f>(AP9*'Data Entry'!$D$14*'Data Entry'!$D$18+AP13*'Data Entry'!$D$15*'Data Entry'!$D$19)*$BV$34</f>
        <v>3974.94</v>
      </c>
      <c r="AQ22" s="147">
        <f>(AQ9*'Data Entry'!$D$14*'Data Entry'!$D$18+AQ13*'Data Entry'!$D$15*'Data Entry'!$D$19)*$BV$34</f>
        <v>4052.88</v>
      </c>
      <c r="AR22" s="147">
        <f>(AR9*'Data Entry'!$D$14*'Data Entry'!$D$18+AR13*'Data Entry'!$D$15*'Data Entry'!$D$19)*$BV$34</f>
        <v>4130.82</v>
      </c>
      <c r="AS22" s="147">
        <f>(AS9*'Data Entry'!$D$14*'Data Entry'!$D$18+AS13*'Data Entry'!$D$15*'Data Entry'!$D$19)*$BV$34</f>
        <v>4208.76</v>
      </c>
      <c r="AT22" s="147">
        <f>(AT9*'Data Entry'!$D$14*'Data Entry'!$D$18+AT13*'Data Entry'!$D$15*'Data Entry'!$D$19)*$BV$34</f>
        <v>4286.7</v>
      </c>
      <c r="AU22" s="147">
        <f>(AU9*'Data Entry'!$D$14*'Data Entry'!$D$18+AU13*'Data Entry'!$D$15*'Data Entry'!$D$19)*$BV$34</f>
        <v>4364.6400000000003</v>
      </c>
      <c r="AV22" s="147">
        <f>(AV9*'Data Entry'!$D$14*'Data Entry'!$D$18+AV13*'Data Entry'!$D$15*'Data Entry'!$D$19)*$BV$34</f>
        <v>4442.58</v>
      </c>
      <c r="AW22" s="147">
        <f>(AW9*'Data Entry'!$D$14*'Data Entry'!$D$18+AW13*'Data Entry'!$D$15*'Data Entry'!$D$19)*$BV$34</f>
        <v>4520.5200000000004</v>
      </c>
      <c r="AX22" s="147">
        <f>(AX9*'Data Entry'!$D$14*'Data Entry'!$D$18+AX13*'Data Entry'!$D$15*'Data Entry'!$D$19)*$BV$34</f>
        <v>4559.49</v>
      </c>
      <c r="AY22" s="147">
        <f>(AY9*'Data Entry'!$D$14*'Data Entry'!$D$18+AY13*'Data Entry'!$D$15*'Data Entry'!$D$19)*$BV$34</f>
        <v>4598.46</v>
      </c>
      <c r="AZ22" s="147">
        <f>(AZ9*'Data Entry'!$D$14*'Data Entry'!$D$18+AZ13*'Data Entry'!$D$15*'Data Entry'!$D$19)*$BV$34</f>
        <v>4637.43</v>
      </c>
      <c r="BA22" s="147">
        <f>(BA9*'Data Entry'!$D$14*'Data Entry'!$D$18+BA13*'Data Entry'!$D$15*'Data Entry'!$D$19)*$BV$34</f>
        <v>4676.3999999999996</v>
      </c>
      <c r="BB22" s="147">
        <f>(BB9*'Data Entry'!$D$14*'Data Entry'!$D$18+BB13*'Data Entry'!$D$15*'Data Entry'!$D$19)*$BV$34</f>
        <v>4715.37</v>
      </c>
      <c r="BC22" s="147">
        <f>(BC9*'Data Entry'!$D$14*'Data Entry'!$D$18+BC13*'Data Entry'!$D$15*'Data Entry'!$D$19)*$BV$34</f>
        <v>4754.34</v>
      </c>
      <c r="BD22" s="147">
        <f>(BD9*'Data Entry'!$D$14*'Data Entry'!$D$18+BD13*'Data Entry'!$D$15*'Data Entry'!$D$19)*$BV$34</f>
        <v>4793.3100000000004</v>
      </c>
      <c r="BE22" s="147">
        <f>(BE9*'Data Entry'!$D$14*'Data Entry'!$D$18+BE13*'Data Entry'!$D$15*'Data Entry'!$D$19)*$BV$34</f>
        <v>4832.28</v>
      </c>
      <c r="BF22" s="147">
        <f>(BF9*'Data Entry'!$D$14*'Data Entry'!$D$18+BF13*'Data Entry'!$D$15*'Data Entry'!$D$19)*$BV$34</f>
        <v>4871.25</v>
      </c>
      <c r="BG22" s="147">
        <f>(BG9*'Data Entry'!$D$14*'Data Entry'!$D$18+BG13*'Data Entry'!$D$15*'Data Entry'!$D$19)*$BV$34</f>
        <v>4910.22</v>
      </c>
      <c r="BH22" s="147">
        <f>(BH9*'Data Entry'!$D$14*'Data Entry'!$D$18+BH13*'Data Entry'!$D$15*'Data Entry'!$D$19)*$BV$34</f>
        <v>4949.1900000000005</v>
      </c>
      <c r="BI22" s="147">
        <f>(BI9*'Data Entry'!$D$14*'Data Entry'!$D$18+BI13*'Data Entry'!$D$15*'Data Entry'!$D$19)*$BV$34</f>
        <v>4988.16</v>
      </c>
      <c r="BJ22" s="147"/>
      <c r="BK22" s="147">
        <f>SUM(B22:M22)</f>
        <v>15432.12</v>
      </c>
      <c r="BL22" s="147">
        <f>SUM(N22:Y22)</f>
        <v>26655.48</v>
      </c>
      <c r="BM22" s="147">
        <f>SUM(Z22:AK22)</f>
        <v>37878.840000000004</v>
      </c>
      <c r="BN22" s="147">
        <f>SUM(AL22:AW22)</f>
        <v>49102.2</v>
      </c>
      <c r="BO22" s="147">
        <f>SUM(AX22:BI22)</f>
        <v>57285.900000000009</v>
      </c>
      <c r="BP22" s="147"/>
      <c r="BQ22" s="393"/>
      <c r="BR22" s="393"/>
      <c r="BS22" s="393"/>
      <c r="BT22" s="393"/>
      <c r="BU22" s="393"/>
      <c r="BV22" s="186">
        <f>(BK22+BK24)/BK26</f>
        <v>0.85772958764580265</v>
      </c>
    </row>
    <row r="23" spans="1:74">
      <c r="A23" s="260" t="s">
        <v>213</v>
      </c>
      <c r="B23" s="147">
        <f>(B9*'Data Entry'!$D$24*'Data Entry'!$D$18+B13*'Data Entry'!$D$24*'Data Entry'!$D$19)*'Income Statement Projections'!$BV$34</f>
        <v>142.89000000000001</v>
      </c>
      <c r="C23" s="147">
        <f>(C9*'Data Entry'!$D$24*'Data Entry'!$D$18+C13*'Data Entry'!$D$24*'Data Entry'!$D$19)*'Income Statement Projections'!$BV$34</f>
        <v>155.88</v>
      </c>
      <c r="D23" s="147">
        <f>(D9*'Data Entry'!$D$24*'Data Entry'!$D$18+D13*'Data Entry'!$D$24*'Data Entry'!$D$19)*'Income Statement Projections'!$BV$34</f>
        <v>168.87</v>
      </c>
      <c r="E23" s="147">
        <f>(E9*'Data Entry'!$D$24*'Data Entry'!$D$18+E13*'Data Entry'!$D$24*'Data Entry'!$D$19)*'Income Statement Projections'!$BV$34</f>
        <v>181.86</v>
      </c>
      <c r="F23" s="147">
        <f>(F9*'Data Entry'!$D$24*'Data Entry'!$D$18+F13*'Data Entry'!$D$24*'Data Entry'!$D$19)*'Income Statement Projections'!$BV$34</f>
        <v>194.85</v>
      </c>
      <c r="G23" s="147">
        <f>(G9*'Data Entry'!$D$24*'Data Entry'!$D$18+G13*'Data Entry'!$D$24*'Data Entry'!$D$19)*'Income Statement Projections'!$BV$34</f>
        <v>207.84</v>
      </c>
      <c r="H23" s="147">
        <f>(H9*'Data Entry'!$D$24*'Data Entry'!$D$18+H13*'Data Entry'!$D$24*'Data Entry'!$D$19)*'Income Statement Projections'!$BV$34</f>
        <v>220.83</v>
      </c>
      <c r="I23" s="147">
        <f>(I9*'Data Entry'!$D$24*'Data Entry'!$D$18+I13*'Data Entry'!$D$24*'Data Entry'!$D$19)*'Income Statement Projections'!$BV$34</f>
        <v>233.82</v>
      </c>
      <c r="J23" s="147">
        <f>(J9*'Data Entry'!$D$24*'Data Entry'!$D$18+J13*'Data Entry'!$D$24*'Data Entry'!$D$19)*'Income Statement Projections'!$BV$34</f>
        <v>246.81</v>
      </c>
      <c r="K23" s="147">
        <f>(K9*'Data Entry'!$D$24*'Data Entry'!$D$18+K13*'Data Entry'!$D$24*'Data Entry'!$D$19)*'Income Statement Projections'!$BV$34</f>
        <v>259.8</v>
      </c>
      <c r="L23" s="147">
        <f>(L9*'Data Entry'!$D$24*'Data Entry'!$D$18+L13*'Data Entry'!$D$24*'Data Entry'!$D$19)*'Income Statement Projections'!$BV$34</f>
        <v>272.79000000000002</v>
      </c>
      <c r="M23" s="147">
        <f>(M9*'Data Entry'!$D$24*'Data Entry'!$D$18+M13*'Data Entry'!$D$24*'Data Entry'!$D$19)*'Income Statement Projections'!$BV$34</f>
        <v>285.78000000000003</v>
      </c>
      <c r="N23" s="147">
        <f>(N9*'Data Entry'!$D$24*'Data Entry'!$D$18+N13*'Data Entry'!$D$24*'Data Entry'!$D$19)*'Income Statement Projections'!$BV$34</f>
        <v>298.77</v>
      </c>
      <c r="O23" s="147">
        <f>(O9*'Data Entry'!$D$24*'Data Entry'!$D$18+O13*'Data Entry'!$D$24*'Data Entry'!$D$19)*'Income Statement Projections'!$BV$34</f>
        <v>311.76</v>
      </c>
      <c r="P23" s="147">
        <f>(P9*'Data Entry'!$D$24*'Data Entry'!$D$18+P13*'Data Entry'!$D$24*'Data Entry'!$D$19)*'Income Statement Projections'!$BV$34</f>
        <v>324.75</v>
      </c>
      <c r="Q23" s="147">
        <f>(Q9*'Data Entry'!$D$24*'Data Entry'!$D$18+Q13*'Data Entry'!$D$24*'Data Entry'!$D$19)*'Income Statement Projections'!$BV$34</f>
        <v>337.74</v>
      </c>
      <c r="R23" s="147">
        <f>(R9*'Data Entry'!$D$24*'Data Entry'!$D$18+R13*'Data Entry'!$D$24*'Data Entry'!$D$19)*'Income Statement Projections'!$BV$34</f>
        <v>350.73</v>
      </c>
      <c r="S23" s="147">
        <f>(S9*'Data Entry'!$D$24*'Data Entry'!$D$18+S13*'Data Entry'!$D$24*'Data Entry'!$D$19)*'Income Statement Projections'!$BV$34</f>
        <v>363.72</v>
      </c>
      <c r="T23" s="147">
        <f>(T9*'Data Entry'!$D$24*'Data Entry'!$D$18+T13*'Data Entry'!$D$24*'Data Entry'!$D$19)*'Income Statement Projections'!$BV$34</f>
        <v>376.71</v>
      </c>
      <c r="U23" s="147">
        <f>(U9*'Data Entry'!$D$24*'Data Entry'!$D$18+U13*'Data Entry'!$D$24*'Data Entry'!$D$19)*'Income Statement Projections'!$BV$34</f>
        <v>389.7</v>
      </c>
      <c r="V23" s="147">
        <f>(V9*'Data Entry'!$D$24*'Data Entry'!$D$18+V13*'Data Entry'!$D$24*'Data Entry'!$D$19)*'Income Statement Projections'!$BV$34</f>
        <v>402.69</v>
      </c>
      <c r="W23" s="147">
        <f>(W9*'Data Entry'!$D$24*'Data Entry'!$D$18+W13*'Data Entry'!$D$24*'Data Entry'!$D$19)*'Income Statement Projections'!$BV$34</f>
        <v>415.68</v>
      </c>
      <c r="X23" s="147">
        <f>(X9*'Data Entry'!$D$24*'Data Entry'!$D$18+X13*'Data Entry'!$D$24*'Data Entry'!$D$19)*'Income Statement Projections'!$BV$34</f>
        <v>428.67</v>
      </c>
      <c r="Y23" s="147">
        <f>(Y9*'Data Entry'!$D$24*'Data Entry'!$D$18+Y13*'Data Entry'!$D$24*'Data Entry'!$D$19)*'Income Statement Projections'!$BV$34</f>
        <v>441.66</v>
      </c>
      <c r="Z23" s="147">
        <f>(Z9*'Data Entry'!$D$24*'Data Entry'!$D$18+Z13*'Data Entry'!$D$24*'Data Entry'!$D$19)*'Income Statement Projections'!$BV$34</f>
        <v>454.65000000000003</v>
      </c>
      <c r="AA23" s="147">
        <f>(AA9*'Data Entry'!$D$24*'Data Entry'!$D$18+AA13*'Data Entry'!$D$24*'Data Entry'!$D$19)*'Income Statement Projections'!$BV$34</f>
        <v>467.64</v>
      </c>
      <c r="AB23" s="147">
        <f>(AB9*'Data Entry'!$D$24*'Data Entry'!$D$18+AB13*'Data Entry'!$D$24*'Data Entry'!$D$19)*'Income Statement Projections'!$BV$34</f>
        <v>480.63</v>
      </c>
      <c r="AC23" s="147">
        <f>(AC9*'Data Entry'!$D$24*'Data Entry'!$D$18+AC13*'Data Entry'!$D$24*'Data Entry'!$D$19)*'Income Statement Projections'!$BV$34</f>
        <v>493.62</v>
      </c>
      <c r="AD23" s="147">
        <f>(AD9*'Data Entry'!$D$24*'Data Entry'!$D$18+AD13*'Data Entry'!$D$24*'Data Entry'!$D$19)*'Income Statement Projections'!$BV$34</f>
        <v>506.61</v>
      </c>
      <c r="AE23" s="147">
        <f>(AE9*'Data Entry'!$D$24*'Data Entry'!$D$18+AE13*'Data Entry'!$D$24*'Data Entry'!$D$19)*'Income Statement Projections'!$BV$34</f>
        <v>519.6</v>
      </c>
      <c r="AF23" s="147">
        <f>(AF9*'Data Entry'!$D$24*'Data Entry'!$D$18+AF13*'Data Entry'!$D$24*'Data Entry'!$D$19)*'Income Statement Projections'!$BV$34</f>
        <v>532.59</v>
      </c>
      <c r="AG23" s="147">
        <f>(AG9*'Data Entry'!$D$24*'Data Entry'!$D$18+AG13*'Data Entry'!$D$24*'Data Entry'!$D$19)*'Income Statement Projections'!$BV$34</f>
        <v>545.58000000000004</v>
      </c>
      <c r="AH23" s="147">
        <f>(AH9*'Data Entry'!$D$24*'Data Entry'!$D$18+AH13*'Data Entry'!$D$24*'Data Entry'!$D$19)*'Income Statement Projections'!$BV$34</f>
        <v>558.57000000000005</v>
      </c>
      <c r="AI23" s="147">
        <f>(AI9*'Data Entry'!$D$24*'Data Entry'!$D$18+AI13*'Data Entry'!$D$24*'Data Entry'!$D$19)*'Income Statement Projections'!$BV$34</f>
        <v>571.56000000000006</v>
      </c>
      <c r="AJ23" s="147">
        <f>(AJ9*'Data Entry'!$D$24*'Data Entry'!$D$18+AJ13*'Data Entry'!$D$24*'Data Entry'!$D$19)*'Income Statement Projections'!$BV$34</f>
        <v>584.54999999999995</v>
      </c>
      <c r="AK23" s="147">
        <f>(AK9*'Data Entry'!$D$24*'Data Entry'!$D$18+AK13*'Data Entry'!$D$24*'Data Entry'!$D$19)*'Income Statement Projections'!$BV$34</f>
        <v>597.54</v>
      </c>
      <c r="AL23" s="147">
        <f>(AL9*'Data Entry'!$D$24*'Data Entry'!$D$18+AL13*'Data Entry'!$D$24*'Data Entry'!$D$19)*'Income Statement Projections'!$BV$34</f>
        <v>610.53</v>
      </c>
      <c r="AM23" s="147">
        <f>(AM9*'Data Entry'!$D$24*'Data Entry'!$D$18+AM13*'Data Entry'!$D$24*'Data Entry'!$D$19)*'Income Statement Projections'!$BV$34</f>
        <v>623.52</v>
      </c>
      <c r="AN23" s="147">
        <f>(AN9*'Data Entry'!$D$24*'Data Entry'!$D$18+AN13*'Data Entry'!$D$24*'Data Entry'!$D$19)*'Income Statement Projections'!$BV$34</f>
        <v>636.51</v>
      </c>
      <c r="AO23" s="147">
        <f>(AO9*'Data Entry'!$D$24*'Data Entry'!$D$18+AO13*'Data Entry'!$D$24*'Data Entry'!$D$19)*'Income Statement Projections'!$BV$34</f>
        <v>649.5</v>
      </c>
      <c r="AP23" s="147">
        <f>(AP9*'Data Entry'!$D$24*'Data Entry'!$D$18+AP13*'Data Entry'!$D$24*'Data Entry'!$D$19)*'Income Statement Projections'!$BV$34</f>
        <v>662.49</v>
      </c>
      <c r="AQ23" s="147">
        <f>(AQ9*'Data Entry'!$D$24*'Data Entry'!$D$18+AQ13*'Data Entry'!$D$24*'Data Entry'!$D$19)*'Income Statement Projections'!$BV$34</f>
        <v>675.48</v>
      </c>
      <c r="AR23" s="147">
        <f>(AR9*'Data Entry'!$D$24*'Data Entry'!$D$18+AR13*'Data Entry'!$D$24*'Data Entry'!$D$19)*'Income Statement Projections'!$BV$34</f>
        <v>688.47</v>
      </c>
      <c r="AS23" s="147">
        <f>(AS9*'Data Entry'!$D$24*'Data Entry'!$D$18+AS13*'Data Entry'!$D$24*'Data Entry'!$D$19)*'Income Statement Projections'!$BV$34</f>
        <v>701.46</v>
      </c>
      <c r="AT23" s="147">
        <f>(AT9*'Data Entry'!$D$24*'Data Entry'!$D$18+AT13*'Data Entry'!$D$24*'Data Entry'!$D$19)*'Income Statement Projections'!$BV$34</f>
        <v>714.45</v>
      </c>
      <c r="AU23" s="147">
        <f>(AU9*'Data Entry'!$D$24*'Data Entry'!$D$18+AU13*'Data Entry'!$D$24*'Data Entry'!$D$19)*'Income Statement Projections'!$BV$34</f>
        <v>727.44</v>
      </c>
      <c r="AV23" s="147">
        <f>(AV9*'Data Entry'!$D$24*'Data Entry'!$D$18+AV13*'Data Entry'!$D$24*'Data Entry'!$D$19)*'Income Statement Projections'!$BV$34</f>
        <v>740.43000000000006</v>
      </c>
      <c r="AW23" s="147">
        <f>(AW9*'Data Entry'!$D$24*'Data Entry'!$D$18+AW13*'Data Entry'!$D$24*'Data Entry'!$D$19)*'Income Statement Projections'!$BV$34</f>
        <v>753.42</v>
      </c>
      <c r="AX23" s="147">
        <f>(AX9*'Data Entry'!$D$24*'Data Entry'!$D$18+AX13*'Data Entry'!$D$24*'Data Entry'!$D$19)*'Income Statement Projections'!$BV$34</f>
        <v>759.91499999999996</v>
      </c>
      <c r="AY23" s="147">
        <f>(AY9*'Data Entry'!$D$24*'Data Entry'!$D$18+AY13*'Data Entry'!$D$24*'Data Entry'!$D$19)*'Income Statement Projections'!$BV$34</f>
        <v>766.41</v>
      </c>
      <c r="AZ23" s="147">
        <f>(AZ9*'Data Entry'!$D$24*'Data Entry'!$D$18+AZ13*'Data Entry'!$D$24*'Data Entry'!$D$19)*'Income Statement Projections'!$BV$34</f>
        <v>772.90499999999997</v>
      </c>
      <c r="BA23" s="147">
        <f>(BA9*'Data Entry'!$D$24*'Data Entry'!$D$18+BA13*'Data Entry'!$D$24*'Data Entry'!$D$19)*'Income Statement Projections'!$BV$34</f>
        <v>779.4</v>
      </c>
      <c r="BB23" s="147">
        <f>(BB9*'Data Entry'!$D$24*'Data Entry'!$D$18+BB13*'Data Entry'!$D$24*'Data Entry'!$D$19)*'Income Statement Projections'!$BV$34</f>
        <v>785.89499999999998</v>
      </c>
      <c r="BC23" s="147">
        <f>(BC9*'Data Entry'!$D$24*'Data Entry'!$D$18+BC13*'Data Entry'!$D$24*'Data Entry'!$D$19)*'Income Statement Projections'!$BV$34</f>
        <v>792.39</v>
      </c>
      <c r="BD23" s="147">
        <f>(BD9*'Data Entry'!$D$24*'Data Entry'!$D$18+BD13*'Data Entry'!$D$24*'Data Entry'!$D$19)*'Income Statement Projections'!$BV$34</f>
        <v>798.88499999999999</v>
      </c>
      <c r="BE23" s="147">
        <f>(BE9*'Data Entry'!$D$24*'Data Entry'!$D$18+BE13*'Data Entry'!$D$24*'Data Entry'!$D$19)*'Income Statement Projections'!$BV$34</f>
        <v>805.38</v>
      </c>
      <c r="BF23" s="147">
        <f>(BF9*'Data Entry'!$D$24*'Data Entry'!$D$18+BF13*'Data Entry'!$D$24*'Data Entry'!$D$19)*'Income Statement Projections'!$BV$34</f>
        <v>811.875</v>
      </c>
      <c r="BG23" s="147">
        <f>(BG9*'Data Entry'!$D$24*'Data Entry'!$D$18+BG13*'Data Entry'!$D$24*'Data Entry'!$D$19)*'Income Statement Projections'!$BV$34</f>
        <v>818.37</v>
      </c>
      <c r="BH23" s="147">
        <f>(BH9*'Data Entry'!$D$24*'Data Entry'!$D$18+BH13*'Data Entry'!$D$24*'Data Entry'!$D$19)*'Income Statement Projections'!$BV$34</f>
        <v>824.86500000000001</v>
      </c>
      <c r="BI23" s="147">
        <f>(BI9*'Data Entry'!$D$24*'Data Entry'!$D$18+BI13*'Data Entry'!$D$24*'Data Entry'!$D$19)*'Income Statement Projections'!$BV$34</f>
        <v>831.36</v>
      </c>
      <c r="BJ23" s="147"/>
      <c r="BK23" s="147">
        <f>SUM(B23:M23)</f>
        <v>2572.02</v>
      </c>
      <c r="BL23" s="147">
        <f t="shared" ref="BL23:BL24" si="153">SUM(N23:Y23)</f>
        <v>4442.58</v>
      </c>
      <c r="BM23" s="147">
        <f t="shared" ref="BM23:BM24" si="154">SUM(Z23:AK23)</f>
        <v>6313.14</v>
      </c>
      <c r="BN23" s="147">
        <f t="shared" ref="BN23:BN24" si="155">SUM(AL23:AW23)</f>
        <v>8183.7000000000007</v>
      </c>
      <c r="BO23" s="147">
        <f t="shared" ref="BO23:BO24" si="156">SUM(AX23:BI23)</f>
        <v>9547.6500000000015</v>
      </c>
      <c r="BP23" s="147"/>
      <c r="BQ23" s="393"/>
      <c r="BR23" s="393"/>
      <c r="BS23" s="393"/>
      <c r="BT23" s="393"/>
      <c r="BU23" s="393"/>
      <c r="BV23" s="186">
        <f>BK23/BK26</f>
        <v>0.14227041235419746</v>
      </c>
    </row>
    <row r="24" spans="1:74">
      <c r="A24" s="260" t="s">
        <v>192</v>
      </c>
      <c r="B24" s="256">
        <f>B18*'Data Entry'!$D$82/12</f>
        <v>4.125</v>
      </c>
      <c r="C24" s="256">
        <f>C18*'Data Entry'!$D$82/12</f>
        <v>4.5000000000000009</v>
      </c>
      <c r="D24" s="256">
        <f>D18*'Data Entry'!$D$82/12</f>
        <v>4.875</v>
      </c>
      <c r="E24" s="256">
        <f>E18*'Data Entry'!$D$82/12</f>
        <v>5.25</v>
      </c>
      <c r="F24" s="256">
        <f>F18*'Data Entry'!$D$82/12</f>
        <v>5.6250000000000009</v>
      </c>
      <c r="G24" s="256">
        <f>G18*'Data Entry'!$D$82/12</f>
        <v>6</v>
      </c>
      <c r="H24" s="256">
        <f>H18*'Data Entry'!$D$82/12</f>
        <v>6.375</v>
      </c>
      <c r="I24" s="256">
        <f>I18*'Data Entry'!$D$82/12</f>
        <v>6.7500000000000009</v>
      </c>
      <c r="J24" s="256">
        <f>J18*'Data Entry'!$D$82/12</f>
        <v>7.125</v>
      </c>
      <c r="K24" s="256">
        <f>K18*'Data Entry'!$D$82/12</f>
        <v>7.5</v>
      </c>
      <c r="L24" s="256">
        <f>L18*'Data Entry'!$D$82/12</f>
        <v>7.875</v>
      </c>
      <c r="M24" s="256">
        <f>M18*'Data Entry'!$D$82/12</f>
        <v>8.25</v>
      </c>
      <c r="N24" s="256">
        <f>N18*'Data Entry'!$D$82/12</f>
        <v>8.6250000000000018</v>
      </c>
      <c r="O24" s="256">
        <f>O18*'Data Entry'!$D$82/12</f>
        <v>9.0000000000000018</v>
      </c>
      <c r="P24" s="256">
        <f>P18*'Data Entry'!$D$82/12</f>
        <v>9.375</v>
      </c>
      <c r="Q24" s="256">
        <f>Q18*'Data Entry'!$D$82/12</f>
        <v>9.75</v>
      </c>
      <c r="R24" s="256">
        <f>R18*'Data Entry'!$D$82/12</f>
        <v>10.125</v>
      </c>
      <c r="S24" s="256">
        <f>S18*'Data Entry'!$D$82/12</f>
        <v>10.5</v>
      </c>
      <c r="T24" s="256">
        <f>T18*'Data Entry'!$D$82/12</f>
        <v>10.875</v>
      </c>
      <c r="U24" s="256">
        <f>U18*'Data Entry'!$D$82/12</f>
        <v>11.250000000000002</v>
      </c>
      <c r="V24" s="256">
        <f>V18*'Data Entry'!$D$82/12</f>
        <v>11.625000000000002</v>
      </c>
      <c r="W24" s="256">
        <f>W18*'Data Entry'!$D$82/12</f>
        <v>12</v>
      </c>
      <c r="X24" s="256">
        <f>X18*'Data Entry'!$D$82/12</f>
        <v>12.375</v>
      </c>
      <c r="Y24" s="256">
        <f>Y18*'Data Entry'!$D$82/12</f>
        <v>12.75</v>
      </c>
      <c r="Z24" s="256">
        <f>Z18*'Data Entry'!$D$82/12</f>
        <v>13.125</v>
      </c>
      <c r="AA24" s="256">
        <f>AA18*'Data Entry'!$D$82/12</f>
        <v>13.500000000000002</v>
      </c>
      <c r="AB24" s="256">
        <f>AB18*'Data Entry'!$D$82/12</f>
        <v>13.875000000000002</v>
      </c>
      <c r="AC24" s="256">
        <f>AC18*'Data Entry'!$D$82/12</f>
        <v>14.25</v>
      </c>
      <c r="AD24" s="256">
        <f>AD18*'Data Entry'!$D$82/12</f>
        <v>14.625000000000002</v>
      </c>
      <c r="AE24" s="256">
        <f>AE18*'Data Entry'!$D$82/12</f>
        <v>15</v>
      </c>
      <c r="AF24" s="256">
        <f>AF18*'Data Entry'!$D$82/12</f>
        <v>15.375000000000002</v>
      </c>
      <c r="AG24" s="256">
        <f>AG18*'Data Entry'!$D$82/12</f>
        <v>15.75</v>
      </c>
      <c r="AH24" s="256">
        <f>AH18*'Data Entry'!$D$82/12</f>
        <v>16.125</v>
      </c>
      <c r="AI24" s="256">
        <f>AI18*'Data Entry'!$D$82/12</f>
        <v>16.5</v>
      </c>
      <c r="AJ24" s="256">
        <f>AJ18*'Data Entry'!$D$82/12</f>
        <v>16.875</v>
      </c>
      <c r="AK24" s="256">
        <f>AK18*'Data Entry'!$D$82/12</f>
        <v>17.250000000000004</v>
      </c>
      <c r="AL24" s="256">
        <f>AL18*'Data Entry'!$D$82/12</f>
        <v>17.625</v>
      </c>
      <c r="AM24" s="256">
        <f>AM18*'Data Entry'!$D$82/12</f>
        <v>18.000000000000004</v>
      </c>
      <c r="AN24" s="256">
        <f>AN18*'Data Entry'!$D$82/12</f>
        <v>18.375</v>
      </c>
      <c r="AO24" s="256">
        <f>AO18*'Data Entry'!$D$82/12</f>
        <v>18.75</v>
      </c>
      <c r="AP24" s="256">
        <f>AP18*'Data Entry'!$D$82/12</f>
        <v>19.125</v>
      </c>
      <c r="AQ24" s="256">
        <f>AQ18*'Data Entry'!$D$82/12</f>
        <v>19.5</v>
      </c>
      <c r="AR24" s="256">
        <f>AR18*'Data Entry'!$D$82/12</f>
        <v>19.875000000000004</v>
      </c>
      <c r="AS24" s="256">
        <f>AS18*'Data Entry'!$D$82/12</f>
        <v>20.25</v>
      </c>
      <c r="AT24" s="256">
        <f>AT18*'Data Entry'!$D$82/12</f>
        <v>20.625000000000004</v>
      </c>
      <c r="AU24" s="256">
        <f>AU18*'Data Entry'!$D$82/12</f>
        <v>21</v>
      </c>
      <c r="AV24" s="256">
        <f>AV18*'Data Entry'!$D$82/12</f>
        <v>21.375</v>
      </c>
      <c r="AW24" s="256">
        <f>AW18*'Data Entry'!$D$82/12</f>
        <v>21.75</v>
      </c>
      <c r="AX24" s="256">
        <f>AX18*'Data Entry'!$D$82/12</f>
        <v>21.937500000000004</v>
      </c>
      <c r="AY24" s="256">
        <f>AY18*'Data Entry'!$D$82/12</f>
        <v>22.125</v>
      </c>
      <c r="AZ24" s="256">
        <f>AZ18*'Data Entry'!$D$82/12</f>
        <v>22.3125</v>
      </c>
      <c r="BA24" s="256">
        <f>BA18*'Data Entry'!$D$82/12</f>
        <v>22.500000000000004</v>
      </c>
      <c r="BB24" s="256">
        <f>BB18*'Data Entry'!$D$82/12</f>
        <v>22.6875</v>
      </c>
      <c r="BC24" s="256">
        <f>BC18*'Data Entry'!$D$82/12</f>
        <v>22.875</v>
      </c>
      <c r="BD24" s="256">
        <f>BD18*'Data Entry'!$D$82/12</f>
        <v>23.0625</v>
      </c>
      <c r="BE24" s="256">
        <f>BE18*'Data Entry'!$D$82/12</f>
        <v>23.250000000000004</v>
      </c>
      <c r="BF24" s="256">
        <f>BF18*'Data Entry'!$D$82/12</f>
        <v>23.4375</v>
      </c>
      <c r="BG24" s="256">
        <f>BG18*'Data Entry'!$D$82/12</f>
        <v>23.625</v>
      </c>
      <c r="BH24" s="256">
        <f>BH18*'Data Entry'!$D$82/12</f>
        <v>23.812500000000004</v>
      </c>
      <c r="BI24" s="256">
        <f>BI18*'Data Entry'!$D$82/12</f>
        <v>24</v>
      </c>
      <c r="BJ24" s="256"/>
      <c r="BK24" s="256">
        <f>SUM(B24:M24)</f>
        <v>74.25</v>
      </c>
      <c r="BL24" s="147">
        <f t="shared" si="153"/>
        <v>128.25</v>
      </c>
      <c r="BM24" s="147">
        <f t="shared" si="154"/>
        <v>182.25</v>
      </c>
      <c r="BN24" s="147">
        <f t="shared" si="155"/>
        <v>236.25</v>
      </c>
      <c r="BO24" s="147">
        <f t="shared" si="156"/>
        <v>275.625</v>
      </c>
      <c r="BP24" s="256"/>
      <c r="BQ24" s="144"/>
      <c r="BR24" s="393"/>
      <c r="BS24" s="393"/>
      <c r="BT24" s="393"/>
      <c r="BU24" s="393"/>
      <c r="BV24" s="186"/>
    </row>
    <row r="25" spans="1:74">
      <c r="A25" s="260"/>
      <c r="B25" s="256"/>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147"/>
      <c r="BM25" s="147"/>
      <c r="BN25" s="147"/>
      <c r="BO25" s="147"/>
      <c r="BP25" s="256"/>
      <c r="BQ25" s="144"/>
      <c r="BR25" s="393"/>
      <c r="BS25" s="393"/>
      <c r="BT25" s="393"/>
      <c r="BU25" s="393"/>
      <c r="BV25" s="186"/>
    </row>
    <row r="26" spans="1:74">
      <c r="A26" s="129" t="s">
        <v>461</v>
      </c>
      <c r="B26" s="257">
        <f>SUM(B22:B24)</f>
        <v>1004.355</v>
      </c>
      <c r="C26" s="257">
        <f t="shared" ref="C26:L26" si="157">SUM(C22:C24)</f>
        <v>1095.6599999999999</v>
      </c>
      <c r="D26" s="257">
        <f t="shared" si="157"/>
        <v>1186.9650000000001</v>
      </c>
      <c r="E26" s="257">
        <f t="shared" si="157"/>
        <v>1278.27</v>
      </c>
      <c r="F26" s="257">
        <f t="shared" si="157"/>
        <v>1369.5749999999998</v>
      </c>
      <c r="G26" s="257">
        <f t="shared" si="157"/>
        <v>1460.8799999999999</v>
      </c>
      <c r="H26" s="257">
        <f t="shared" si="157"/>
        <v>1552.1849999999999</v>
      </c>
      <c r="I26" s="257">
        <f t="shared" si="157"/>
        <v>1643.49</v>
      </c>
      <c r="J26" s="257">
        <f t="shared" si="157"/>
        <v>1734.7950000000001</v>
      </c>
      <c r="K26" s="257">
        <f t="shared" si="157"/>
        <v>1826.1</v>
      </c>
      <c r="L26" s="257">
        <f t="shared" si="157"/>
        <v>1917.405</v>
      </c>
      <c r="M26" s="257">
        <f>SUM(M22:M24)</f>
        <v>2008.71</v>
      </c>
      <c r="N26" s="257">
        <f t="shared" ref="N26:AN26" si="158">SUM(N22:N24)</f>
        <v>2100.0150000000003</v>
      </c>
      <c r="O26" s="257">
        <f t="shared" si="158"/>
        <v>2191.3199999999997</v>
      </c>
      <c r="P26" s="257">
        <f t="shared" si="158"/>
        <v>2282.625</v>
      </c>
      <c r="Q26" s="257">
        <f t="shared" si="158"/>
        <v>2373.9300000000003</v>
      </c>
      <c r="R26" s="257">
        <f t="shared" si="158"/>
        <v>2465.2350000000001</v>
      </c>
      <c r="S26" s="257">
        <f t="shared" si="158"/>
        <v>2556.54</v>
      </c>
      <c r="T26" s="257">
        <f t="shared" si="158"/>
        <v>2647.8450000000003</v>
      </c>
      <c r="U26" s="257">
        <f t="shared" si="158"/>
        <v>2739.1499999999996</v>
      </c>
      <c r="V26" s="257">
        <f t="shared" si="158"/>
        <v>2830.4549999999999</v>
      </c>
      <c r="W26" s="257">
        <f t="shared" si="158"/>
        <v>2921.7599999999998</v>
      </c>
      <c r="X26" s="257">
        <f t="shared" si="158"/>
        <v>3013.0650000000001</v>
      </c>
      <c r="Y26" s="257">
        <f t="shared" si="158"/>
        <v>3104.37</v>
      </c>
      <c r="Z26" s="257">
        <f t="shared" si="158"/>
        <v>3195.6750000000002</v>
      </c>
      <c r="AA26" s="257">
        <f t="shared" si="158"/>
        <v>3286.98</v>
      </c>
      <c r="AB26" s="257">
        <f t="shared" si="158"/>
        <v>3378.2850000000003</v>
      </c>
      <c r="AC26" s="257">
        <f t="shared" si="158"/>
        <v>3469.59</v>
      </c>
      <c r="AD26" s="257">
        <f t="shared" si="158"/>
        <v>3560.895</v>
      </c>
      <c r="AE26" s="257">
        <f t="shared" si="158"/>
        <v>3652.2</v>
      </c>
      <c r="AF26" s="257">
        <f t="shared" si="158"/>
        <v>3743.5050000000001</v>
      </c>
      <c r="AG26" s="257">
        <f t="shared" si="158"/>
        <v>3834.81</v>
      </c>
      <c r="AH26" s="257">
        <f t="shared" si="158"/>
        <v>3926.1150000000002</v>
      </c>
      <c r="AI26" s="257">
        <f t="shared" si="158"/>
        <v>4017.42</v>
      </c>
      <c r="AJ26" s="257">
        <f t="shared" si="158"/>
        <v>4108.7250000000004</v>
      </c>
      <c r="AK26" s="257">
        <f t="shared" si="158"/>
        <v>4200.0300000000007</v>
      </c>
      <c r="AL26" s="257">
        <f t="shared" si="158"/>
        <v>4291.335</v>
      </c>
      <c r="AM26" s="257">
        <f t="shared" si="158"/>
        <v>4382.6399999999994</v>
      </c>
      <c r="AN26" s="257">
        <f t="shared" si="158"/>
        <v>4473.9449999999997</v>
      </c>
      <c r="AO26" s="257">
        <f t="shared" ref="AO26" si="159">SUM(AO22:AO24)</f>
        <v>4565.25</v>
      </c>
      <c r="AP26" s="257">
        <f t="shared" ref="AP26" si="160">SUM(AP22:AP24)</f>
        <v>4656.5550000000003</v>
      </c>
      <c r="AQ26" s="257">
        <f t="shared" ref="AQ26" si="161">SUM(AQ22:AQ24)</f>
        <v>4747.8600000000006</v>
      </c>
      <c r="AR26" s="257">
        <f t="shared" ref="AR26" si="162">SUM(AR22:AR24)</f>
        <v>4839.165</v>
      </c>
      <c r="AS26" s="257">
        <f t="shared" ref="AS26" si="163">SUM(AS22:AS24)</f>
        <v>4930.47</v>
      </c>
      <c r="AT26" s="257">
        <f t="shared" ref="AT26" si="164">SUM(AT22:AT24)</f>
        <v>5021.7749999999996</v>
      </c>
      <c r="AU26" s="257">
        <f t="shared" ref="AU26" si="165">SUM(AU22:AU24)</f>
        <v>5113.08</v>
      </c>
      <c r="AV26" s="257">
        <f t="shared" ref="AV26" si="166">SUM(AV22:AV24)</f>
        <v>5204.3850000000002</v>
      </c>
      <c r="AW26" s="257">
        <f t="shared" ref="AW26" si="167">SUM(AW22:AW24)</f>
        <v>5295.6900000000005</v>
      </c>
      <c r="AX26" s="257">
        <f t="shared" ref="AX26" si="168">SUM(AX22:AX24)</f>
        <v>5341.3424999999997</v>
      </c>
      <c r="AY26" s="257">
        <f t="shared" ref="AY26" si="169">SUM(AY22:AY24)</f>
        <v>5386.9949999999999</v>
      </c>
      <c r="AZ26" s="257">
        <f t="shared" ref="AZ26" si="170">SUM(AZ22:AZ24)</f>
        <v>5432.6475</v>
      </c>
      <c r="BA26" s="257">
        <f t="shared" ref="BA26" si="171">SUM(BA22:BA24)</f>
        <v>5478.2999999999993</v>
      </c>
      <c r="BB26" s="257">
        <f t="shared" ref="BB26" si="172">SUM(BB22:BB24)</f>
        <v>5523.9524999999994</v>
      </c>
      <c r="BC26" s="257">
        <f t="shared" ref="BC26" si="173">SUM(BC22:BC24)</f>
        <v>5569.6050000000005</v>
      </c>
      <c r="BD26" s="257">
        <f t="shared" ref="BD26" si="174">SUM(BD22:BD24)</f>
        <v>5615.2575000000006</v>
      </c>
      <c r="BE26" s="257">
        <f t="shared" ref="BE26" si="175">SUM(BE22:BE24)</f>
        <v>5660.91</v>
      </c>
      <c r="BF26" s="257">
        <f t="shared" ref="BF26" si="176">SUM(BF22:BF24)</f>
        <v>5706.5625</v>
      </c>
      <c r="BG26" s="257">
        <f t="shared" ref="BG26" si="177">SUM(BG22:BG24)</f>
        <v>5752.2150000000001</v>
      </c>
      <c r="BH26" s="257">
        <f t="shared" ref="BH26" si="178">SUM(BH22:BH24)</f>
        <v>5797.8675000000003</v>
      </c>
      <c r="BI26" s="257">
        <f t="shared" ref="BI26" si="179">SUM(BI22:BI24)</f>
        <v>5843.5199999999995</v>
      </c>
      <c r="BJ26" s="257"/>
      <c r="BK26" s="257">
        <f>SUM(BK22:BK24)</f>
        <v>18078.39</v>
      </c>
      <c r="BL26" s="257">
        <f>SUM(BL22:BL24)</f>
        <v>31226.309999999998</v>
      </c>
      <c r="BM26" s="257">
        <f t="shared" ref="BM26:BO26" si="180">SUM(BM22:BM24)</f>
        <v>44374.23</v>
      </c>
      <c r="BN26" s="257">
        <f t="shared" si="180"/>
        <v>57522.149999999994</v>
      </c>
      <c r="BO26" s="257">
        <f t="shared" si="180"/>
        <v>67109.175000000017</v>
      </c>
      <c r="BP26" s="256"/>
      <c r="BQ26" s="398"/>
      <c r="BR26" s="398"/>
      <c r="BS26" s="398"/>
      <c r="BT26" s="398"/>
      <c r="BU26" s="398"/>
      <c r="BV26" s="136"/>
    </row>
    <row r="28" spans="1:74">
      <c r="A28" s="71" t="s">
        <v>462</v>
      </c>
    </row>
    <row r="29" spans="1:74">
      <c r="A29" s="260" t="s">
        <v>463</v>
      </c>
    </row>
    <row r="30" spans="1:74">
      <c r="A30" s="260" t="s">
        <v>464</v>
      </c>
    </row>
    <row r="31" spans="1:74">
      <c r="A31" s="160"/>
      <c r="B31" s="146"/>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28"/>
      <c r="BL31" s="146"/>
      <c r="BM31" s="146"/>
      <c r="BN31" s="146"/>
      <c r="BO31" s="146"/>
      <c r="BP31" s="146"/>
      <c r="BQ31" s="397"/>
      <c r="BR31" s="144"/>
      <c r="BS31" s="144"/>
      <c r="BT31" s="144"/>
      <c r="BU31" s="144"/>
      <c r="BV31" s="136"/>
    </row>
    <row r="33" spans="1:77">
      <c r="A33" s="71" t="s">
        <v>36</v>
      </c>
      <c r="B33" s="201"/>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163"/>
      <c r="BL33" s="359"/>
      <c r="BM33" s="359"/>
      <c r="BN33" s="359"/>
      <c r="BO33" s="359"/>
      <c r="BP33" s="359"/>
      <c r="BQ33" s="395"/>
      <c r="BR33" s="396"/>
      <c r="BS33" s="396"/>
      <c r="BT33" s="396"/>
      <c r="BU33" s="396"/>
      <c r="BV33" s="136"/>
    </row>
    <row r="34" spans="1:77">
      <c r="A34" s="260" t="s">
        <v>64</v>
      </c>
      <c r="B34" s="147">
        <f>B9*'Data Entry'!$D$18*'Data Entry'!$D$14*'Data Entry'!$D$10*'Income Statement Projections'!$BV$34</f>
        <v>0</v>
      </c>
      <c r="C34" s="147">
        <f>C9*'Data Entry'!$D$18*'Data Entry'!$D$14*'Data Entry'!$D$10*'Income Statement Projections'!$BV$34</f>
        <v>0</v>
      </c>
      <c r="D34" s="147">
        <f>D9*'Data Entry'!$D$18*'Data Entry'!$D$14*'Data Entry'!$D$10*'Income Statement Projections'!$BV$34</f>
        <v>0</v>
      </c>
      <c r="E34" s="147">
        <f>E9*'Data Entry'!$D$18*'Data Entry'!$D$14*'Data Entry'!$D$10*'Income Statement Projections'!$BV$34</f>
        <v>0</v>
      </c>
      <c r="F34" s="147">
        <f>F9*'Data Entry'!$D$18*'Data Entry'!$D$14*'Data Entry'!$D$10*'Income Statement Projections'!$BV$34</f>
        <v>0</v>
      </c>
      <c r="G34" s="147">
        <f>G9*'Data Entry'!$D$18*'Data Entry'!$D$14*'Data Entry'!$D$10*'Income Statement Projections'!$BV$34</f>
        <v>0</v>
      </c>
      <c r="H34" s="147">
        <f>H9*'Data Entry'!$D$18*'Data Entry'!$D$14*'Data Entry'!$D$10*'Income Statement Projections'!$BV$34</f>
        <v>0</v>
      </c>
      <c r="I34" s="147">
        <f>I9*'Data Entry'!$D$18*'Data Entry'!$D$14*'Data Entry'!$D$10*'Income Statement Projections'!$BV$34</f>
        <v>0</v>
      </c>
      <c r="J34" s="147">
        <f>J9*'Data Entry'!$D$18*'Data Entry'!$D$14*'Data Entry'!$D$10*'Income Statement Projections'!$BV$34</f>
        <v>0</v>
      </c>
      <c r="K34" s="147">
        <f>K9*'Data Entry'!$D$18*'Data Entry'!$D$14*'Data Entry'!$D$10*'Income Statement Projections'!$BV$34</f>
        <v>0</v>
      </c>
      <c r="L34" s="147">
        <f>L9*'Data Entry'!$D$18*'Data Entry'!$D$14*'Data Entry'!$D$10*'Income Statement Projections'!$BV$34</f>
        <v>0</v>
      </c>
      <c r="M34" s="147">
        <f>M9*'Data Entry'!$D$18*'Data Entry'!$D$14*'Data Entry'!$D$10*'Income Statement Projections'!$BV$34</f>
        <v>0</v>
      </c>
      <c r="N34" s="147">
        <f>N9*'Data Entry'!$D$18*'Data Entry'!$D$14*'Data Entry'!$D$10*'Income Statement Projections'!$BV$34</f>
        <v>0</v>
      </c>
      <c r="O34" s="147">
        <f>O9*'Data Entry'!$D$18*'Data Entry'!$D$14*'Data Entry'!$D$10*'Income Statement Projections'!$BV$34</f>
        <v>0</v>
      </c>
      <c r="P34" s="147">
        <f>P9*'Data Entry'!$D$18*'Data Entry'!$D$14*'Data Entry'!$D$10*'Income Statement Projections'!$BV$34</f>
        <v>0</v>
      </c>
      <c r="Q34" s="147">
        <f>Q9*'Data Entry'!$D$18*'Data Entry'!$D$14*'Data Entry'!$D$10*'Income Statement Projections'!$BV$34</f>
        <v>0</v>
      </c>
      <c r="R34" s="147">
        <f>R9*'Data Entry'!$D$18*'Data Entry'!$D$14*'Data Entry'!$D$10*'Income Statement Projections'!$BV$34</f>
        <v>0</v>
      </c>
      <c r="S34" s="147">
        <f>S9*'Data Entry'!$D$18*'Data Entry'!$D$14*'Data Entry'!$D$10*'Income Statement Projections'!$BV$34</f>
        <v>0</v>
      </c>
      <c r="T34" s="147">
        <f>T9*'Data Entry'!$D$18*'Data Entry'!$D$14*'Data Entry'!$D$10*'Income Statement Projections'!$BV$34</f>
        <v>0</v>
      </c>
      <c r="U34" s="147">
        <f>U9*'Data Entry'!$D$18*'Data Entry'!$D$14*'Data Entry'!$D$10*'Income Statement Projections'!$BV$34</f>
        <v>0</v>
      </c>
      <c r="V34" s="147">
        <f>V9*'Data Entry'!$D$18*'Data Entry'!$D$14*'Data Entry'!$D$10*'Income Statement Projections'!$BV$34</f>
        <v>0</v>
      </c>
      <c r="W34" s="147">
        <f>W9*'Data Entry'!$D$18*'Data Entry'!$D$14*'Data Entry'!$D$10*'Income Statement Projections'!$BV$34</f>
        <v>0</v>
      </c>
      <c r="X34" s="147">
        <f>X9*'Data Entry'!$D$18*'Data Entry'!$D$14*'Data Entry'!$D$10*'Income Statement Projections'!$BV$34</f>
        <v>0</v>
      </c>
      <c r="Y34" s="147">
        <f>Y9*'Data Entry'!$D$18*'Data Entry'!$D$14*'Data Entry'!$D$10*'Income Statement Projections'!$BV$34</f>
        <v>0</v>
      </c>
      <c r="Z34" s="147">
        <f>Z9*'Data Entry'!$D$18*'Data Entry'!$D$14*'Data Entry'!$D$10*'Income Statement Projections'!$BV$34</f>
        <v>0</v>
      </c>
      <c r="AA34" s="147">
        <f>AA9*'Data Entry'!$D$18*'Data Entry'!$D$14*'Data Entry'!$D$10*'Income Statement Projections'!$BV$34</f>
        <v>0</v>
      </c>
      <c r="AB34" s="147">
        <f>AB9*'Data Entry'!$D$18*'Data Entry'!$D$14*'Data Entry'!$D$10*'Income Statement Projections'!$BV$34</f>
        <v>0</v>
      </c>
      <c r="AC34" s="147">
        <f>AC9*'Data Entry'!$D$18*'Data Entry'!$D$14*'Data Entry'!$D$10*'Income Statement Projections'!$BV$34</f>
        <v>0</v>
      </c>
      <c r="AD34" s="147">
        <f>AD9*'Data Entry'!$D$18*'Data Entry'!$D$14*'Data Entry'!$D$10*'Income Statement Projections'!$BV$34</f>
        <v>0</v>
      </c>
      <c r="AE34" s="147">
        <f>AE9*'Data Entry'!$D$18*'Data Entry'!$D$14*'Data Entry'!$D$10*'Income Statement Projections'!$BV$34</f>
        <v>0</v>
      </c>
      <c r="AF34" s="147">
        <f>AF9*'Data Entry'!$D$18*'Data Entry'!$D$14*'Data Entry'!$D$10*'Income Statement Projections'!$BV$34</f>
        <v>0</v>
      </c>
      <c r="AG34" s="147">
        <f>AG9*'Data Entry'!$D$18*'Data Entry'!$D$14*'Data Entry'!$D$10*'Income Statement Projections'!$BV$34</f>
        <v>0</v>
      </c>
      <c r="AH34" s="147">
        <f>AH9*'Data Entry'!$D$18*'Data Entry'!$D$14*'Data Entry'!$D$10*'Income Statement Projections'!$BV$34</f>
        <v>0</v>
      </c>
      <c r="AI34" s="147">
        <f>AI9*'Data Entry'!$D$18*'Data Entry'!$D$14*'Data Entry'!$D$10*'Income Statement Projections'!$BV$34</f>
        <v>0</v>
      </c>
      <c r="AJ34" s="147">
        <f>AJ9*'Data Entry'!$D$18*'Data Entry'!$D$14*'Data Entry'!$D$10*'Income Statement Projections'!$BV$34</f>
        <v>0</v>
      </c>
      <c r="AK34" s="147">
        <f>AK9*'Data Entry'!$D$18*'Data Entry'!$D$14*'Data Entry'!$D$10*'Income Statement Projections'!$BV$34</f>
        <v>0</v>
      </c>
      <c r="AL34" s="147">
        <f>AL9*'Data Entry'!$D$18*'Data Entry'!$D$14*'Data Entry'!$D$10*'Income Statement Projections'!$BV$34</f>
        <v>0</v>
      </c>
      <c r="AM34" s="147">
        <f>AM9*'Data Entry'!$D$18*'Data Entry'!$D$14*'Data Entry'!$D$10*'Income Statement Projections'!$BV$34</f>
        <v>0</v>
      </c>
      <c r="AN34" s="147">
        <f>AN9*'Data Entry'!$D$18*'Data Entry'!$D$14*'Data Entry'!$D$10*'Income Statement Projections'!$BV$34</f>
        <v>0</v>
      </c>
      <c r="AO34" s="147">
        <f>AO9*'Data Entry'!$D$18*'Data Entry'!$D$14*'Data Entry'!$D$10*'Income Statement Projections'!$BV$34</f>
        <v>0</v>
      </c>
      <c r="AP34" s="147">
        <f>AP9*'Data Entry'!$D$18*'Data Entry'!$D$14*'Data Entry'!$D$10*'Income Statement Projections'!$BV$34</f>
        <v>0</v>
      </c>
      <c r="AQ34" s="147">
        <f>AQ9*'Data Entry'!$D$18*'Data Entry'!$D$14*'Data Entry'!$D$10*'Income Statement Projections'!$BV$34</f>
        <v>0</v>
      </c>
      <c r="AR34" s="147">
        <f>AR9*'Data Entry'!$D$18*'Data Entry'!$D$14*'Data Entry'!$D$10*'Income Statement Projections'!$BV$34</f>
        <v>0</v>
      </c>
      <c r="AS34" s="147">
        <f>AS9*'Data Entry'!$D$18*'Data Entry'!$D$14*'Data Entry'!$D$10*'Income Statement Projections'!$BV$34</f>
        <v>0</v>
      </c>
      <c r="AT34" s="147">
        <f>AT9*'Data Entry'!$D$18*'Data Entry'!$D$14*'Data Entry'!$D$10*'Income Statement Projections'!$BV$34</f>
        <v>0</v>
      </c>
      <c r="AU34" s="147">
        <f>AU9*'Data Entry'!$D$18*'Data Entry'!$D$14*'Data Entry'!$D$10*'Income Statement Projections'!$BV$34</f>
        <v>0</v>
      </c>
      <c r="AV34" s="147">
        <f>AV9*'Data Entry'!$D$18*'Data Entry'!$D$14*'Data Entry'!$D$10*'Income Statement Projections'!$BV$34</f>
        <v>0</v>
      </c>
      <c r="AW34" s="147">
        <f>AW9*'Data Entry'!$D$18*'Data Entry'!$D$14*'Data Entry'!$D$10*'Income Statement Projections'!$BV$34</f>
        <v>0</v>
      </c>
      <c r="AX34" s="147">
        <f>AX9*'Data Entry'!$D$18*'Data Entry'!$D$14*'Data Entry'!$D$10*'Income Statement Projections'!$BV$34</f>
        <v>0</v>
      </c>
      <c r="AY34" s="147">
        <f>AY9*'Data Entry'!$D$18*'Data Entry'!$D$14*'Data Entry'!$D$10*'Income Statement Projections'!$BV$34</f>
        <v>0</v>
      </c>
      <c r="AZ34" s="147">
        <f>AZ9*'Data Entry'!$D$18*'Data Entry'!$D$14*'Data Entry'!$D$10*'Income Statement Projections'!$BV$34</f>
        <v>0</v>
      </c>
      <c r="BA34" s="147">
        <f>BA9*'Data Entry'!$D$18*'Data Entry'!$D$14*'Data Entry'!$D$10*'Income Statement Projections'!$BV$34</f>
        <v>0</v>
      </c>
      <c r="BB34" s="147">
        <f>BB9*'Data Entry'!$D$18*'Data Entry'!$D$14*'Data Entry'!$D$10*'Income Statement Projections'!$BV$34</f>
        <v>0</v>
      </c>
      <c r="BC34" s="147">
        <f>BC9*'Data Entry'!$D$18*'Data Entry'!$D$14*'Data Entry'!$D$10*'Income Statement Projections'!$BV$34</f>
        <v>0</v>
      </c>
      <c r="BD34" s="147">
        <f>BD9*'Data Entry'!$D$18*'Data Entry'!$D$14*'Data Entry'!$D$10*'Income Statement Projections'!$BV$34</f>
        <v>0</v>
      </c>
      <c r="BE34" s="147">
        <f>BE9*'Data Entry'!$D$18*'Data Entry'!$D$14*'Data Entry'!$D$10*'Income Statement Projections'!$BV$34</f>
        <v>0</v>
      </c>
      <c r="BF34" s="147">
        <f>BF9*'Data Entry'!$D$18*'Data Entry'!$D$14*'Data Entry'!$D$10*'Income Statement Projections'!$BV$34</f>
        <v>0</v>
      </c>
      <c r="BG34" s="147">
        <f>BG9*'Data Entry'!$D$18*'Data Entry'!$D$14*'Data Entry'!$D$10*'Income Statement Projections'!$BV$34</f>
        <v>0</v>
      </c>
      <c r="BH34" s="147">
        <f>BH9*'Data Entry'!$D$18*'Data Entry'!$D$14*'Data Entry'!$D$10*'Income Statement Projections'!$BV$34</f>
        <v>0</v>
      </c>
      <c r="BI34" s="147">
        <f>BI9*'Data Entry'!$D$18*'Data Entry'!$D$14*'Data Entry'!$D$10*'Income Statement Projections'!$BV$34</f>
        <v>0</v>
      </c>
      <c r="BJ34" s="147"/>
      <c r="BK34" s="147">
        <f>SUM(B34:M34)</f>
        <v>0</v>
      </c>
      <c r="BL34" s="147">
        <f t="shared" ref="BL34:BL35" si="181">SUM(N34:Y34)</f>
        <v>0</v>
      </c>
      <c r="BM34" s="147">
        <f t="shared" ref="BM34:BM35" si="182">SUM(Z34:AK34)</f>
        <v>0</v>
      </c>
      <c r="BN34" s="147">
        <f t="shared" ref="BN34:BN35" si="183">SUM(AL34:AW34)</f>
        <v>0</v>
      </c>
      <c r="BO34" s="147">
        <f t="shared" ref="BO34:BO35" si="184">SUM(AX34:BI34)</f>
        <v>0</v>
      </c>
      <c r="BP34" s="147"/>
      <c r="BQ34" s="393">
        <f>BK34/BK$36</f>
        <v>0</v>
      </c>
      <c r="BR34" s="393">
        <f t="shared" ref="BR34:BU34" si="185">BL34/BL$36</f>
        <v>0</v>
      </c>
      <c r="BS34" s="393">
        <f t="shared" si="185"/>
        <v>0</v>
      </c>
      <c r="BT34" s="393">
        <f t="shared" si="185"/>
        <v>0</v>
      </c>
      <c r="BU34" s="393">
        <f t="shared" si="185"/>
        <v>0</v>
      </c>
      <c r="BV34" s="161">
        <v>4.33</v>
      </c>
      <c r="BW34" s="117" t="s">
        <v>77</v>
      </c>
    </row>
    <row r="35" spans="1:77">
      <c r="A35" s="260" t="s">
        <v>65</v>
      </c>
      <c r="B35" s="147">
        <f>B13*'Data Entry'!$D$19*'Data Entry'!$D$15*'Data Entry'!$D$11*'Income Statement Projections'!$BV$34</f>
        <v>21433.5</v>
      </c>
      <c r="C35" s="147">
        <f>C13*'Data Entry'!$D$19*'Data Entry'!$D$15*'Data Entry'!$D$11*'Income Statement Projections'!$BV$34</f>
        <v>23382</v>
      </c>
      <c r="D35" s="147">
        <f>D13*'Data Entry'!$D$19*'Data Entry'!$D$15*'Data Entry'!$D$11*'Income Statement Projections'!$BV$34</f>
        <v>25330.5</v>
      </c>
      <c r="E35" s="147">
        <f>E13*'Data Entry'!$D$19*'Data Entry'!$D$15*'Data Entry'!$D$11*'Income Statement Projections'!$BV$34</f>
        <v>27279</v>
      </c>
      <c r="F35" s="147">
        <f>F13*'Data Entry'!$D$19*'Data Entry'!$D$15*'Data Entry'!$D$11*'Income Statement Projections'!$BV$34</f>
        <v>29227.5</v>
      </c>
      <c r="G35" s="147">
        <f>G13*'Data Entry'!$D$19*'Data Entry'!$D$15*'Data Entry'!$D$11*'Income Statement Projections'!$BV$34</f>
        <v>31176</v>
      </c>
      <c r="H35" s="147">
        <f>H13*'Data Entry'!$D$19*'Data Entry'!$D$15*'Data Entry'!$D$11*'Income Statement Projections'!$BV$34</f>
        <v>33124.5</v>
      </c>
      <c r="I35" s="147">
        <f>I13*'Data Entry'!$D$19*'Data Entry'!$D$15*'Data Entry'!$D$11*'Income Statement Projections'!$BV$34</f>
        <v>35073</v>
      </c>
      <c r="J35" s="147">
        <f>J13*'Data Entry'!$D$19*'Data Entry'!$D$15*'Data Entry'!$D$11*'Income Statement Projections'!$BV$34</f>
        <v>37021.5</v>
      </c>
      <c r="K35" s="147">
        <f>K13*'Data Entry'!$D$19*'Data Entry'!$D$15*'Data Entry'!$D$11*'Income Statement Projections'!$BV$34</f>
        <v>38970</v>
      </c>
      <c r="L35" s="147">
        <f>L13*'Data Entry'!$D$19*'Data Entry'!$D$15*'Data Entry'!$D$11*'Income Statement Projections'!$BV$34</f>
        <v>40918.5</v>
      </c>
      <c r="M35" s="147">
        <f>M13*'Data Entry'!$D$19*'Data Entry'!$D$15*'Data Entry'!$D$11*'Income Statement Projections'!$BV$34</f>
        <v>42867</v>
      </c>
      <c r="N35" s="147">
        <f>N13*'Data Entry'!$D$19*'Data Entry'!$D$15*'Data Entry'!$D$11*'Income Statement Projections'!$BV$34</f>
        <v>44815.5</v>
      </c>
      <c r="O35" s="147">
        <f>O13*'Data Entry'!$D$19*'Data Entry'!$D$15*'Data Entry'!$D$11*'Income Statement Projections'!$BV$34</f>
        <v>46764</v>
      </c>
      <c r="P35" s="147">
        <f>P13*'Data Entry'!$D$19*'Data Entry'!$D$15*'Data Entry'!$D$11*'Income Statement Projections'!$BV$34</f>
        <v>48712.5</v>
      </c>
      <c r="Q35" s="147">
        <f>Q13*'Data Entry'!$D$19*'Data Entry'!$D$15*'Data Entry'!$D$11*'Income Statement Projections'!$BV$34</f>
        <v>50661</v>
      </c>
      <c r="R35" s="147">
        <f>R13*'Data Entry'!$D$19*'Data Entry'!$D$15*'Data Entry'!$D$11*'Income Statement Projections'!$BV$34</f>
        <v>52609.5</v>
      </c>
      <c r="S35" s="147">
        <f>S13*'Data Entry'!$D$19*'Data Entry'!$D$15*'Data Entry'!$D$11*'Income Statement Projections'!$BV$34</f>
        <v>54558</v>
      </c>
      <c r="T35" s="147">
        <f>T13*'Data Entry'!$D$19*'Data Entry'!$D$15*'Data Entry'!$D$11*'Income Statement Projections'!$BV$34</f>
        <v>56506.5</v>
      </c>
      <c r="U35" s="147">
        <f>U13*'Data Entry'!$D$19*'Data Entry'!$D$15*'Data Entry'!$D$11*'Income Statement Projections'!$BV$34</f>
        <v>58455</v>
      </c>
      <c r="V35" s="147">
        <f>V13*'Data Entry'!$D$19*'Data Entry'!$D$15*'Data Entry'!$D$11*'Income Statement Projections'!$BV$34</f>
        <v>60403.5</v>
      </c>
      <c r="W35" s="147">
        <f>W13*'Data Entry'!$D$19*'Data Entry'!$D$15*'Data Entry'!$D$11*'Income Statement Projections'!$BV$34</f>
        <v>62352</v>
      </c>
      <c r="X35" s="147">
        <f>X13*'Data Entry'!$D$19*'Data Entry'!$D$15*'Data Entry'!$D$11*'Income Statement Projections'!$BV$34</f>
        <v>64300.5</v>
      </c>
      <c r="Y35" s="147">
        <f>Y13*'Data Entry'!$D$19*'Data Entry'!$D$15*'Data Entry'!$D$11*'Income Statement Projections'!$BV$34</f>
        <v>66249</v>
      </c>
      <c r="Z35" s="147">
        <f>Z13*'Data Entry'!$D$19*'Data Entry'!$D$15*'Data Entry'!$D$11*'Income Statement Projections'!$BV$34</f>
        <v>68197.5</v>
      </c>
      <c r="AA35" s="147">
        <f>AA13*'Data Entry'!$D$19*'Data Entry'!$D$15*'Data Entry'!$D$11*'Income Statement Projections'!$BV$34</f>
        <v>70146</v>
      </c>
      <c r="AB35" s="147">
        <f>AB13*'Data Entry'!$D$19*'Data Entry'!$D$15*'Data Entry'!$D$11*'Income Statement Projections'!$BV$34</f>
        <v>72094.5</v>
      </c>
      <c r="AC35" s="147">
        <f>AC13*'Data Entry'!$D$19*'Data Entry'!$D$15*'Data Entry'!$D$11*'Income Statement Projections'!$BV$34</f>
        <v>74043</v>
      </c>
      <c r="AD35" s="147">
        <f>AD13*'Data Entry'!$D$19*'Data Entry'!$D$15*'Data Entry'!$D$11*'Income Statement Projections'!$BV$34</f>
        <v>75991.5</v>
      </c>
      <c r="AE35" s="147">
        <f>AE13*'Data Entry'!$D$19*'Data Entry'!$D$15*'Data Entry'!$D$11*'Income Statement Projections'!$BV$34</f>
        <v>77940</v>
      </c>
      <c r="AF35" s="147">
        <f>AF13*'Data Entry'!$D$19*'Data Entry'!$D$15*'Data Entry'!$D$11*'Income Statement Projections'!$BV$34</f>
        <v>79888.5</v>
      </c>
      <c r="AG35" s="147">
        <f>AG13*'Data Entry'!$D$19*'Data Entry'!$D$15*'Data Entry'!$D$11*'Income Statement Projections'!$BV$34</f>
        <v>81837</v>
      </c>
      <c r="AH35" s="147">
        <f>AH13*'Data Entry'!$D$19*'Data Entry'!$D$15*'Data Entry'!$D$11*'Income Statement Projections'!$BV$34</f>
        <v>83785.5</v>
      </c>
      <c r="AI35" s="147">
        <f>AI13*'Data Entry'!$D$19*'Data Entry'!$D$15*'Data Entry'!$D$11*'Income Statement Projections'!$BV$34</f>
        <v>85734</v>
      </c>
      <c r="AJ35" s="147">
        <f>AJ13*'Data Entry'!$D$19*'Data Entry'!$D$15*'Data Entry'!$D$11*'Income Statement Projections'!$BV$34</f>
        <v>87682.5</v>
      </c>
      <c r="AK35" s="147">
        <f>AK13*'Data Entry'!$D$19*'Data Entry'!$D$15*'Data Entry'!$D$11*'Income Statement Projections'!$BV$34</f>
        <v>89631</v>
      </c>
      <c r="AL35" s="147">
        <f>AL13*'Data Entry'!$D$19*'Data Entry'!$D$15*'Data Entry'!$D$11*'Income Statement Projections'!$BV$34</f>
        <v>91579.5</v>
      </c>
      <c r="AM35" s="147">
        <f>AM13*'Data Entry'!$D$19*'Data Entry'!$D$15*'Data Entry'!$D$11*'Income Statement Projections'!$BV$34</f>
        <v>93528</v>
      </c>
      <c r="AN35" s="147">
        <f>AN13*'Data Entry'!$D$19*'Data Entry'!$D$15*'Data Entry'!$D$11*'Income Statement Projections'!$BV$34</f>
        <v>95476.5</v>
      </c>
      <c r="AO35" s="147">
        <f>AO13*'Data Entry'!$D$19*'Data Entry'!$D$15*'Data Entry'!$D$11*'Income Statement Projections'!$BV$34</f>
        <v>97425</v>
      </c>
      <c r="AP35" s="147">
        <f>AP13*'Data Entry'!$D$19*'Data Entry'!$D$15*'Data Entry'!$D$11*'Income Statement Projections'!$BV$34</f>
        <v>99373.5</v>
      </c>
      <c r="AQ35" s="147">
        <f>AQ13*'Data Entry'!$D$19*'Data Entry'!$D$15*'Data Entry'!$D$11*'Income Statement Projections'!$BV$34</f>
        <v>101322</v>
      </c>
      <c r="AR35" s="147">
        <f>AR13*'Data Entry'!$D$19*'Data Entry'!$D$15*'Data Entry'!$D$11*'Income Statement Projections'!$BV$34</f>
        <v>103270.5</v>
      </c>
      <c r="AS35" s="147">
        <f>AS13*'Data Entry'!$D$19*'Data Entry'!$D$15*'Data Entry'!$D$11*'Income Statement Projections'!$BV$34</f>
        <v>105219</v>
      </c>
      <c r="AT35" s="147">
        <f>AT13*'Data Entry'!$D$19*'Data Entry'!$D$15*'Data Entry'!$D$11*'Income Statement Projections'!$BV$34</f>
        <v>107167.5</v>
      </c>
      <c r="AU35" s="147">
        <f>AU13*'Data Entry'!$D$19*'Data Entry'!$D$15*'Data Entry'!$D$11*'Income Statement Projections'!$BV$34</f>
        <v>109116</v>
      </c>
      <c r="AV35" s="147">
        <f>AV13*'Data Entry'!$D$19*'Data Entry'!$D$15*'Data Entry'!$D$11*'Income Statement Projections'!$BV$34</f>
        <v>111064.5</v>
      </c>
      <c r="AW35" s="147">
        <f>AW13*'Data Entry'!$D$19*'Data Entry'!$D$15*'Data Entry'!$D$11*'Income Statement Projections'!$BV$34</f>
        <v>113013</v>
      </c>
      <c r="AX35" s="147">
        <f>AX13*'Data Entry'!$D$19*'Data Entry'!$D$15*'Data Entry'!$D$11*'Income Statement Projections'!$BV$34</f>
        <v>113987.25</v>
      </c>
      <c r="AY35" s="147">
        <f>AY13*'Data Entry'!$D$19*'Data Entry'!$D$15*'Data Entry'!$D$11*'Income Statement Projections'!$BV$34</f>
        <v>114961.5</v>
      </c>
      <c r="AZ35" s="147">
        <f>AZ13*'Data Entry'!$D$19*'Data Entry'!$D$15*'Data Entry'!$D$11*'Income Statement Projections'!$BV$34</f>
        <v>115935.75</v>
      </c>
      <c r="BA35" s="147">
        <f>BA13*'Data Entry'!$D$19*'Data Entry'!$D$15*'Data Entry'!$D$11*'Income Statement Projections'!$BV$34</f>
        <v>116910</v>
      </c>
      <c r="BB35" s="147">
        <f>BB13*'Data Entry'!$D$19*'Data Entry'!$D$15*'Data Entry'!$D$11*'Income Statement Projections'!$BV$34</f>
        <v>117884.25</v>
      </c>
      <c r="BC35" s="147">
        <f>BC13*'Data Entry'!$D$19*'Data Entry'!$D$15*'Data Entry'!$D$11*'Income Statement Projections'!$BV$34</f>
        <v>118858.5</v>
      </c>
      <c r="BD35" s="147">
        <f>BD13*'Data Entry'!$D$19*'Data Entry'!$D$15*'Data Entry'!$D$11*'Income Statement Projections'!$BV$34</f>
        <v>119832.75</v>
      </c>
      <c r="BE35" s="147">
        <f>BE13*'Data Entry'!$D$19*'Data Entry'!$D$15*'Data Entry'!$D$11*'Income Statement Projections'!$BV$34</f>
        <v>120807</v>
      </c>
      <c r="BF35" s="147">
        <f>BF13*'Data Entry'!$D$19*'Data Entry'!$D$15*'Data Entry'!$D$11*'Income Statement Projections'!$BV$34</f>
        <v>121781.25</v>
      </c>
      <c r="BG35" s="147">
        <f>BG13*'Data Entry'!$D$19*'Data Entry'!$D$15*'Data Entry'!$D$11*'Income Statement Projections'!$BV$34</f>
        <v>122755.5</v>
      </c>
      <c r="BH35" s="147">
        <f>BH13*'Data Entry'!$D$19*'Data Entry'!$D$15*'Data Entry'!$D$11*'Income Statement Projections'!$BV$34</f>
        <v>123729.75</v>
      </c>
      <c r="BI35" s="147">
        <f>BI13*'Data Entry'!$D$19*'Data Entry'!$D$15*'Data Entry'!$D$11*'Income Statement Projections'!$BV$34</f>
        <v>124704</v>
      </c>
      <c r="BJ35" s="147"/>
      <c r="BK35" s="147">
        <f>SUM(B35:M35)</f>
        <v>385803</v>
      </c>
      <c r="BL35" s="147">
        <f t="shared" si="181"/>
        <v>666387</v>
      </c>
      <c r="BM35" s="147">
        <f t="shared" si="182"/>
        <v>946971</v>
      </c>
      <c r="BN35" s="147">
        <f t="shared" si="183"/>
        <v>1227555</v>
      </c>
      <c r="BO35" s="147">
        <f t="shared" si="184"/>
        <v>1432147.5</v>
      </c>
      <c r="BP35" s="147"/>
      <c r="BQ35" s="393">
        <f t="shared" ref="BQ35:BQ99" si="186">BK35/BK$36</f>
        <v>1</v>
      </c>
      <c r="BR35" s="393">
        <f t="shared" ref="BR35:BR99" si="187">BL35/BL$36</f>
        <v>1</v>
      </c>
      <c r="BS35" s="393">
        <f t="shared" ref="BS35:BS99" si="188">BM35/BM$36</f>
        <v>1</v>
      </c>
      <c r="BT35" s="393">
        <f t="shared" ref="BT35:BT99" si="189">BN35/BN$36</f>
        <v>1</v>
      </c>
      <c r="BU35" s="393">
        <f t="shared" ref="BU35:BU99" si="190">BO35/BO$36</f>
        <v>1</v>
      </c>
      <c r="BV35" s="136"/>
    </row>
    <row r="36" spans="1:77">
      <c r="A36" s="129" t="s">
        <v>49</v>
      </c>
      <c r="B36" s="257">
        <f t="shared" ref="B36:M36" si="191">SUM(B34:B35)</f>
        <v>21433.5</v>
      </c>
      <c r="C36" s="257">
        <f t="shared" si="191"/>
        <v>23382</v>
      </c>
      <c r="D36" s="257">
        <f t="shared" si="191"/>
        <v>25330.5</v>
      </c>
      <c r="E36" s="257">
        <f t="shared" si="191"/>
        <v>27279</v>
      </c>
      <c r="F36" s="257">
        <f t="shared" si="191"/>
        <v>29227.5</v>
      </c>
      <c r="G36" s="257">
        <f t="shared" si="191"/>
        <v>31176</v>
      </c>
      <c r="H36" s="257">
        <f t="shared" si="191"/>
        <v>33124.5</v>
      </c>
      <c r="I36" s="257">
        <f t="shared" si="191"/>
        <v>35073</v>
      </c>
      <c r="J36" s="257">
        <f t="shared" si="191"/>
        <v>37021.5</v>
      </c>
      <c r="K36" s="257">
        <f t="shared" si="191"/>
        <v>38970</v>
      </c>
      <c r="L36" s="257">
        <f t="shared" si="191"/>
        <v>40918.5</v>
      </c>
      <c r="M36" s="257">
        <f t="shared" si="191"/>
        <v>42867</v>
      </c>
      <c r="N36" s="257">
        <f t="shared" ref="N36:AN36" si="192">SUM(N34:N35)</f>
        <v>44815.5</v>
      </c>
      <c r="O36" s="257">
        <f t="shared" si="192"/>
        <v>46764</v>
      </c>
      <c r="P36" s="257">
        <f t="shared" si="192"/>
        <v>48712.5</v>
      </c>
      <c r="Q36" s="257">
        <f t="shared" si="192"/>
        <v>50661</v>
      </c>
      <c r="R36" s="257">
        <f t="shared" si="192"/>
        <v>52609.5</v>
      </c>
      <c r="S36" s="257">
        <f t="shared" si="192"/>
        <v>54558</v>
      </c>
      <c r="T36" s="257">
        <f t="shared" si="192"/>
        <v>56506.5</v>
      </c>
      <c r="U36" s="257">
        <f t="shared" si="192"/>
        <v>58455</v>
      </c>
      <c r="V36" s="257">
        <f t="shared" si="192"/>
        <v>60403.5</v>
      </c>
      <c r="W36" s="257">
        <f t="shared" si="192"/>
        <v>62352</v>
      </c>
      <c r="X36" s="257">
        <f t="shared" si="192"/>
        <v>64300.5</v>
      </c>
      <c r="Y36" s="257">
        <f t="shared" si="192"/>
        <v>66249</v>
      </c>
      <c r="Z36" s="257">
        <f t="shared" si="192"/>
        <v>68197.5</v>
      </c>
      <c r="AA36" s="257">
        <f t="shared" si="192"/>
        <v>70146</v>
      </c>
      <c r="AB36" s="257">
        <f t="shared" si="192"/>
        <v>72094.5</v>
      </c>
      <c r="AC36" s="257">
        <f t="shared" si="192"/>
        <v>74043</v>
      </c>
      <c r="AD36" s="257">
        <f t="shared" si="192"/>
        <v>75991.5</v>
      </c>
      <c r="AE36" s="257">
        <f t="shared" si="192"/>
        <v>77940</v>
      </c>
      <c r="AF36" s="257">
        <f t="shared" si="192"/>
        <v>79888.5</v>
      </c>
      <c r="AG36" s="257">
        <f t="shared" si="192"/>
        <v>81837</v>
      </c>
      <c r="AH36" s="257">
        <f t="shared" si="192"/>
        <v>83785.5</v>
      </c>
      <c r="AI36" s="257">
        <f t="shared" si="192"/>
        <v>85734</v>
      </c>
      <c r="AJ36" s="257">
        <f t="shared" si="192"/>
        <v>87682.5</v>
      </c>
      <c r="AK36" s="257">
        <f t="shared" si="192"/>
        <v>89631</v>
      </c>
      <c r="AL36" s="257">
        <f t="shared" si="192"/>
        <v>91579.5</v>
      </c>
      <c r="AM36" s="257">
        <f t="shared" si="192"/>
        <v>93528</v>
      </c>
      <c r="AN36" s="257">
        <f t="shared" si="192"/>
        <v>95476.5</v>
      </c>
      <c r="AO36" s="257">
        <f t="shared" ref="AO36" si="193">SUM(AO34:AO35)</f>
        <v>97425</v>
      </c>
      <c r="AP36" s="257">
        <f t="shared" ref="AP36" si="194">SUM(AP34:AP35)</f>
        <v>99373.5</v>
      </c>
      <c r="AQ36" s="257">
        <f t="shared" ref="AQ36" si="195">SUM(AQ34:AQ35)</f>
        <v>101322</v>
      </c>
      <c r="AR36" s="257">
        <f t="shared" ref="AR36" si="196">SUM(AR34:AR35)</f>
        <v>103270.5</v>
      </c>
      <c r="AS36" s="257">
        <f t="shared" ref="AS36" si="197">SUM(AS34:AS35)</f>
        <v>105219</v>
      </c>
      <c r="AT36" s="257">
        <f t="shared" ref="AT36" si="198">SUM(AT34:AT35)</f>
        <v>107167.5</v>
      </c>
      <c r="AU36" s="257">
        <f t="shared" ref="AU36" si="199">SUM(AU34:AU35)</f>
        <v>109116</v>
      </c>
      <c r="AV36" s="257">
        <f t="shared" ref="AV36" si="200">SUM(AV34:AV35)</f>
        <v>111064.5</v>
      </c>
      <c r="AW36" s="257">
        <f t="shared" ref="AW36" si="201">SUM(AW34:AW35)</f>
        <v>113013</v>
      </c>
      <c r="AX36" s="257">
        <f t="shared" ref="AX36" si="202">SUM(AX34:AX35)</f>
        <v>113987.25</v>
      </c>
      <c r="AY36" s="257">
        <f t="shared" ref="AY36" si="203">SUM(AY34:AY35)</f>
        <v>114961.5</v>
      </c>
      <c r="AZ36" s="257">
        <f t="shared" ref="AZ36" si="204">SUM(AZ34:AZ35)</f>
        <v>115935.75</v>
      </c>
      <c r="BA36" s="257">
        <f t="shared" ref="BA36" si="205">SUM(BA34:BA35)</f>
        <v>116910</v>
      </c>
      <c r="BB36" s="257">
        <f t="shared" ref="BB36" si="206">SUM(BB34:BB35)</f>
        <v>117884.25</v>
      </c>
      <c r="BC36" s="257">
        <f t="shared" ref="BC36" si="207">SUM(BC34:BC35)</f>
        <v>118858.5</v>
      </c>
      <c r="BD36" s="257">
        <f t="shared" ref="BD36" si="208">SUM(BD34:BD35)</f>
        <v>119832.75</v>
      </c>
      <c r="BE36" s="257">
        <f t="shared" ref="BE36" si="209">SUM(BE34:BE35)</f>
        <v>120807</v>
      </c>
      <c r="BF36" s="257">
        <f t="shared" ref="BF36" si="210">SUM(BF34:BF35)</f>
        <v>121781.25</v>
      </c>
      <c r="BG36" s="257">
        <f t="shared" ref="BG36" si="211">SUM(BG34:BG35)</f>
        <v>122755.5</v>
      </c>
      <c r="BH36" s="257">
        <f t="shared" ref="BH36" si="212">SUM(BH34:BH35)</f>
        <v>123729.75</v>
      </c>
      <c r="BI36" s="257">
        <f t="shared" ref="BI36" si="213">SUM(BI34:BI35)</f>
        <v>124704</v>
      </c>
      <c r="BJ36" s="257"/>
      <c r="BK36" s="257">
        <f>SUM(B36:M36)</f>
        <v>385803</v>
      </c>
      <c r="BL36" s="257">
        <f t="shared" ref="BL36" si="214">SUM(N36:Y36)</f>
        <v>666387</v>
      </c>
      <c r="BM36" s="257">
        <f t="shared" ref="BM36" si="215">SUM(Z36:AK36)</f>
        <v>946971</v>
      </c>
      <c r="BN36" s="257">
        <f t="shared" ref="BN36" si="216">SUM(AL36:AW36)</f>
        <v>1227555</v>
      </c>
      <c r="BO36" s="257">
        <f t="shared" ref="BO36" si="217">SUM(AX36:BI36)</f>
        <v>1432147.5</v>
      </c>
      <c r="BP36" s="256"/>
      <c r="BQ36" s="398">
        <f t="shared" si="186"/>
        <v>1</v>
      </c>
      <c r="BR36" s="398">
        <f t="shared" si="187"/>
        <v>1</v>
      </c>
      <c r="BS36" s="398">
        <f t="shared" si="188"/>
        <v>1</v>
      </c>
      <c r="BT36" s="398">
        <f t="shared" si="189"/>
        <v>1</v>
      </c>
      <c r="BU36" s="398">
        <f t="shared" si="190"/>
        <v>1</v>
      </c>
      <c r="BV36" s="136"/>
    </row>
    <row r="37" spans="1:77">
      <c r="A37" s="71"/>
      <c r="B37" s="131"/>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32"/>
      <c r="BL37" s="362"/>
      <c r="BM37" s="362"/>
      <c r="BN37" s="362"/>
      <c r="BO37" s="362"/>
      <c r="BP37" s="362"/>
      <c r="BQ37" s="397"/>
      <c r="BR37" s="144"/>
      <c r="BS37" s="144"/>
      <c r="BT37" s="144"/>
      <c r="BU37" s="144"/>
      <c r="BV37" s="136"/>
    </row>
    <row r="38" spans="1:77">
      <c r="A38" s="71" t="s">
        <v>300</v>
      </c>
      <c r="B38" s="131"/>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32"/>
      <c r="BL38" s="362"/>
      <c r="BM38" s="362"/>
      <c r="BN38" s="362"/>
      <c r="BO38" s="362"/>
      <c r="BP38" s="362"/>
      <c r="BQ38" s="397"/>
      <c r="BR38" s="144"/>
      <c r="BS38" s="144"/>
      <c r="BT38" s="144"/>
      <c r="BU38" s="144"/>
      <c r="BV38" s="136"/>
    </row>
    <row r="39" spans="1:77">
      <c r="A39" s="260" t="s">
        <v>293</v>
      </c>
      <c r="B39" s="147">
        <f>B22*'Data Entry'!$D$45</f>
        <v>9430.74</v>
      </c>
      <c r="C39" s="147">
        <f>C22*'Data Entry'!$D$45</f>
        <v>10288.08</v>
      </c>
      <c r="D39" s="147">
        <f>D22*'Data Entry'!$D$45</f>
        <v>11145.42</v>
      </c>
      <c r="E39" s="147">
        <f>E22*'Data Entry'!$D$45</f>
        <v>12002.76</v>
      </c>
      <c r="F39" s="147">
        <f>F22*'Data Entry'!$D$45</f>
        <v>12860.099999999999</v>
      </c>
      <c r="G39" s="147">
        <f>G22*'Data Entry'!$D$45</f>
        <v>13717.439999999999</v>
      </c>
      <c r="H39" s="147">
        <f>H22*'Data Entry'!$D$45</f>
        <v>14574.78</v>
      </c>
      <c r="I39" s="147">
        <f>I22*'Data Entry'!$D$45</f>
        <v>15432.12</v>
      </c>
      <c r="J39" s="147">
        <f>J22*'Data Entry'!$D$45</f>
        <v>16289.460000000001</v>
      </c>
      <c r="K39" s="147">
        <f>K22*'Data Entry'!$D$45</f>
        <v>17146.8</v>
      </c>
      <c r="L39" s="147">
        <f>L22*'Data Entry'!$D$45</f>
        <v>18004.14</v>
      </c>
      <c r="M39" s="147">
        <f>M22*'Data Entry'!$D$45</f>
        <v>18861.48</v>
      </c>
      <c r="N39" s="147">
        <f>N22*'Data Entry'!$D$45</f>
        <v>19718.82</v>
      </c>
      <c r="O39" s="147">
        <f>O22*'Data Entry'!$D$45</f>
        <v>20576.16</v>
      </c>
      <c r="P39" s="147">
        <f>P22*'Data Entry'!$D$45</f>
        <v>21433.5</v>
      </c>
      <c r="Q39" s="147">
        <f>Q22*'Data Entry'!$D$45</f>
        <v>22290.84</v>
      </c>
      <c r="R39" s="147">
        <f>R22*'Data Entry'!$D$45</f>
        <v>23148.18</v>
      </c>
      <c r="S39" s="147">
        <f>S22*'Data Entry'!$D$45</f>
        <v>24005.52</v>
      </c>
      <c r="T39" s="147">
        <f>T22*'Data Entry'!$D$45</f>
        <v>24862.86</v>
      </c>
      <c r="U39" s="147">
        <f>U22*'Data Entry'!$D$45</f>
        <v>25720.199999999997</v>
      </c>
      <c r="V39" s="147">
        <f>V22*'Data Entry'!$D$45</f>
        <v>26577.539999999997</v>
      </c>
      <c r="W39" s="147">
        <f>W22*'Data Entry'!$D$45</f>
        <v>27434.879999999997</v>
      </c>
      <c r="X39" s="147">
        <f>X22*'Data Entry'!$D$45</f>
        <v>28292.22</v>
      </c>
      <c r="Y39" s="147">
        <f>Y22*'Data Entry'!$D$45</f>
        <v>29149.56</v>
      </c>
      <c r="Z39" s="147">
        <f>Z22*'Data Entry'!$D$45</f>
        <v>30006.9</v>
      </c>
      <c r="AA39" s="147">
        <f>AA22*'Data Entry'!$D$45</f>
        <v>30864.240000000002</v>
      </c>
      <c r="AB39" s="147">
        <f>AB22*'Data Entry'!$D$45</f>
        <v>31721.58</v>
      </c>
      <c r="AC39" s="147">
        <f>AC22*'Data Entry'!$D$45</f>
        <v>32578.920000000002</v>
      </c>
      <c r="AD39" s="147">
        <f>AD22*'Data Entry'!$D$45</f>
        <v>33436.259999999995</v>
      </c>
      <c r="AE39" s="147">
        <f>AE22*'Data Entry'!$D$45</f>
        <v>34293.599999999999</v>
      </c>
      <c r="AF39" s="147">
        <f>AF22*'Data Entry'!$D$45</f>
        <v>35150.94</v>
      </c>
      <c r="AG39" s="147">
        <f>AG22*'Data Entry'!$D$45</f>
        <v>36008.28</v>
      </c>
      <c r="AH39" s="147">
        <f>AH22*'Data Entry'!$D$45</f>
        <v>36865.620000000003</v>
      </c>
      <c r="AI39" s="147">
        <f>AI22*'Data Entry'!$D$45</f>
        <v>37722.959999999999</v>
      </c>
      <c r="AJ39" s="147">
        <f>AJ22*'Data Entry'!$D$45</f>
        <v>38580.300000000003</v>
      </c>
      <c r="AK39" s="147">
        <f>AK22*'Data Entry'!$D$45</f>
        <v>39437.64</v>
      </c>
      <c r="AL39" s="147">
        <f>AL22*'Data Entry'!$D$45</f>
        <v>40294.979999999996</v>
      </c>
      <c r="AM39" s="147">
        <f>AM22*'Data Entry'!$D$45</f>
        <v>41152.32</v>
      </c>
      <c r="AN39" s="147">
        <f>AN22*'Data Entry'!$D$45</f>
        <v>42009.659999999996</v>
      </c>
      <c r="AO39" s="147">
        <f>AO22*'Data Entry'!$D$45</f>
        <v>42867</v>
      </c>
      <c r="AP39" s="147">
        <f>AP22*'Data Entry'!$D$45</f>
        <v>43724.340000000004</v>
      </c>
      <c r="AQ39" s="147">
        <f>AQ22*'Data Entry'!$D$45</f>
        <v>44581.68</v>
      </c>
      <c r="AR39" s="147">
        <f>AR22*'Data Entry'!$D$45</f>
        <v>45439.02</v>
      </c>
      <c r="AS39" s="147">
        <f>AS22*'Data Entry'!$D$45</f>
        <v>46296.36</v>
      </c>
      <c r="AT39" s="147">
        <f>AT22*'Data Entry'!$D$45</f>
        <v>47153.7</v>
      </c>
      <c r="AU39" s="147">
        <f>AU22*'Data Entry'!$D$45</f>
        <v>48011.040000000001</v>
      </c>
      <c r="AV39" s="147">
        <f>AV22*'Data Entry'!$D$45</f>
        <v>48868.38</v>
      </c>
      <c r="AW39" s="147">
        <f>AW22*'Data Entry'!$D$45</f>
        <v>49725.72</v>
      </c>
      <c r="AX39" s="147">
        <f>AX22*'Data Entry'!$D$45</f>
        <v>50154.39</v>
      </c>
      <c r="AY39" s="147">
        <f>AY22*'Data Entry'!$D$45</f>
        <v>50583.06</v>
      </c>
      <c r="AZ39" s="147">
        <f>AZ22*'Data Entry'!$D$45</f>
        <v>51011.73</v>
      </c>
      <c r="BA39" s="147">
        <f>BA22*'Data Entry'!$D$45</f>
        <v>51440.399999999994</v>
      </c>
      <c r="BB39" s="147">
        <f>BB22*'Data Entry'!$D$45</f>
        <v>51869.07</v>
      </c>
      <c r="BC39" s="147">
        <f>BC22*'Data Entry'!$D$45</f>
        <v>52297.740000000005</v>
      </c>
      <c r="BD39" s="147">
        <f>BD22*'Data Entry'!$D$45</f>
        <v>52726.41</v>
      </c>
      <c r="BE39" s="147">
        <f>BE22*'Data Entry'!$D$45</f>
        <v>53155.079999999994</v>
      </c>
      <c r="BF39" s="147">
        <f>BF22*'Data Entry'!$D$45</f>
        <v>53583.75</v>
      </c>
      <c r="BG39" s="147">
        <f>BG22*'Data Entry'!$D$45</f>
        <v>54012.420000000006</v>
      </c>
      <c r="BH39" s="147">
        <f>BH22*'Data Entry'!$D$45</f>
        <v>54441.090000000004</v>
      </c>
      <c r="BI39" s="147">
        <f>BI22*'Data Entry'!$D$45</f>
        <v>54869.759999999995</v>
      </c>
      <c r="BJ39" s="147"/>
      <c r="BK39" s="147">
        <f>SUM(B39:M39)</f>
        <v>169753.31999999998</v>
      </c>
      <c r="BL39" s="147">
        <f t="shared" ref="BL39:BL41" si="218">SUM(N39:Y39)</f>
        <v>293210.28000000003</v>
      </c>
      <c r="BM39" s="147">
        <f t="shared" ref="BM39:BM41" si="219">SUM(Z39:AK39)</f>
        <v>416667.24</v>
      </c>
      <c r="BN39" s="147">
        <f t="shared" ref="BN39:BN41" si="220">SUM(AL39:AW39)</f>
        <v>540124.19999999995</v>
      </c>
      <c r="BO39" s="147">
        <f t="shared" ref="BO39:BO41" si="221">SUM(AX39:BI39)</f>
        <v>630144.9</v>
      </c>
      <c r="BP39" s="147"/>
      <c r="BQ39" s="393">
        <f t="shared" si="186"/>
        <v>0.43999999999999995</v>
      </c>
      <c r="BR39" s="393">
        <f t="shared" si="187"/>
        <v>0.44000000000000006</v>
      </c>
      <c r="BS39" s="393">
        <f t="shared" si="188"/>
        <v>0.44</v>
      </c>
      <c r="BT39" s="393">
        <f t="shared" si="189"/>
        <v>0.43999999999999995</v>
      </c>
      <c r="BU39" s="393">
        <f t="shared" si="190"/>
        <v>0.44</v>
      </c>
      <c r="BV39" s="161">
        <v>4.33</v>
      </c>
      <c r="BW39" s="117" t="s">
        <v>77</v>
      </c>
    </row>
    <row r="40" spans="1:77">
      <c r="A40" s="260" t="s">
        <v>295</v>
      </c>
      <c r="B40" s="147">
        <f>B23*'Data Entry'!$D$46</f>
        <v>1571.7900000000002</v>
      </c>
      <c r="C40" s="147">
        <f>C23*'Data Entry'!$D$46</f>
        <v>1714.6799999999998</v>
      </c>
      <c r="D40" s="147">
        <f>D23*'Data Entry'!$D$46</f>
        <v>1857.5700000000002</v>
      </c>
      <c r="E40" s="147">
        <f>E23*'Data Entry'!$D$46</f>
        <v>2000.46</v>
      </c>
      <c r="F40" s="147">
        <f>F23*'Data Entry'!$D$46</f>
        <v>2143.35</v>
      </c>
      <c r="G40" s="147">
        <f>G23*'Data Entry'!$D$46</f>
        <v>2286.2400000000002</v>
      </c>
      <c r="H40" s="147">
        <f>H23*'Data Entry'!$D$46</f>
        <v>2429.13</v>
      </c>
      <c r="I40" s="147">
        <f>I23*'Data Entry'!$D$46</f>
        <v>2572.02</v>
      </c>
      <c r="J40" s="147">
        <f>J23*'Data Entry'!$D$46</f>
        <v>2714.91</v>
      </c>
      <c r="K40" s="147">
        <f>K23*'Data Entry'!$D$46</f>
        <v>2857.8</v>
      </c>
      <c r="L40" s="147">
        <f>L23*'Data Entry'!$D$46</f>
        <v>3000.69</v>
      </c>
      <c r="M40" s="147">
        <f>M23*'Data Entry'!$D$46</f>
        <v>3143.5800000000004</v>
      </c>
      <c r="N40" s="147">
        <f>N23*'Data Entry'!$D$46</f>
        <v>3286.47</v>
      </c>
      <c r="O40" s="147">
        <f>O23*'Data Entry'!$D$46</f>
        <v>3429.3599999999997</v>
      </c>
      <c r="P40" s="147">
        <f>P23*'Data Entry'!$D$46</f>
        <v>3572.25</v>
      </c>
      <c r="Q40" s="147">
        <f>Q23*'Data Entry'!$D$46</f>
        <v>3715.1400000000003</v>
      </c>
      <c r="R40" s="147">
        <f>R23*'Data Entry'!$D$46</f>
        <v>3858.03</v>
      </c>
      <c r="S40" s="147">
        <f>S23*'Data Entry'!$D$46</f>
        <v>4000.92</v>
      </c>
      <c r="T40" s="147">
        <f>T23*'Data Entry'!$D$46</f>
        <v>4143.8099999999995</v>
      </c>
      <c r="U40" s="147">
        <f>U23*'Data Entry'!$D$46</f>
        <v>4286.7</v>
      </c>
      <c r="V40" s="147">
        <f>V23*'Data Entry'!$D$46</f>
        <v>4429.59</v>
      </c>
      <c r="W40" s="147">
        <f>W23*'Data Entry'!$D$46</f>
        <v>4572.4800000000005</v>
      </c>
      <c r="X40" s="147">
        <f>X23*'Data Entry'!$D$46</f>
        <v>4715.37</v>
      </c>
      <c r="Y40" s="147">
        <f>Y23*'Data Entry'!$D$46</f>
        <v>4858.26</v>
      </c>
      <c r="Z40" s="147">
        <f>Z23*'Data Entry'!$D$46</f>
        <v>5001.1500000000005</v>
      </c>
      <c r="AA40" s="147">
        <f>AA23*'Data Entry'!$D$46</f>
        <v>5144.04</v>
      </c>
      <c r="AB40" s="147">
        <f>AB23*'Data Entry'!$D$46</f>
        <v>5286.93</v>
      </c>
      <c r="AC40" s="147">
        <f>AC23*'Data Entry'!$D$46</f>
        <v>5429.82</v>
      </c>
      <c r="AD40" s="147">
        <f>AD23*'Data Entry'!$D$46</f>
        <v>5572.71</v>
      </c>
      <c r="AE40" s="147">
        <f>AE23*'Data Entry'!$D$46</f>
        <v>5715.6</v>
      </c>
      <c r="AF40" s="147">
        <f>AF23*'Data Entry'!$D$46</f>
        <v>5858.4900000000007</v>
      </c>
      <c r="AG40" s="147">
        <f>AG23*'Data Entry'!$D$46</f>
        <v>6001.38</v>
      </c>
      <c r="AH40" s="147">
        <f>AH23*'Data Entry'!$D$46</f>
        <v>6144.27</v>
      </c>
      <c r="AI40" s="147">
        <f>AI23*'Data Entry'!$D$46</f>
        <v>6287.1600000000008</v>
      </c>
      <c r="AJ40" s="147">
        <f>AJ23*'Data Entry'!$D$46</f>
        <v>6430.0499999999993</v>
      </c>
      <c r="AK40" s="147">
        <f>AK23*'Data Entry'!$D$46</f>
        <v>6572.94</v>
      </c>
      <c r="AL40" s="147">
        <f>AL23*'Data Entry'!$D$46</f>
        <v>6715.83</v>
      </c>
      <c r="AM40" s="147">
        <f>AM23*'Data Entry'!$D$46</f>
        <v>6858.7199999999993</v>
      </c>
      <c r="AN40" s="147">
        <f>AN23*'Data Entry'!$D$46</f>
        <v>7001.61</v>
      </c>
      <c r="AO40" s="147">
        <f>AO23*'Data Entry'!$D$46</f>
        <v>7144.5</v>
      </c>
      <c r="AP40" s="147">
        <f>AP23*'Data Entry'!$D$46</f>
        <v>7287.39</v>
      </c>
      <c r="AQ40" s="147">
        <f>AQ23*'Data Entry'!$D$46</f>
        <v>7430.2800000000007</v>
      </c>
      <c r="AR40" s="147">
        <f>AR23*'Data Entry'!$D$46</f>
        <v>7573.17</v>
      </c>
      <c r="AS40" s="147">
        <f>AS23*'Data Entry'!$D$46</f>
        <v>7716.06</v>
      </c>
      <c r="AT40" s="147">
        <f>AT23*'Data Entry'!$D$46</f>
        <v>7858.9500000000007</v>
      </c>
      <c r="AU40" s="147">
        <f>AU23*'Data Entry'!$D$46</f>
        <v>8001.84</v>
      </c>
      <c r="AV40" s="147">
        <f>AV23*'Data Entry'!$D$46</f>
        <v>8144.7300000000005</v>
      </c>
      <c r="AW40" s="147">
        <f>AW23*'Data Entry'!$D$46</f>
        <v>8287.619999999999</v>
      </c>
      <c r="AX40" s="147">
        <f>AX23*'Data Entry'!$D$46</f>
        <v>8359.0649999999987</v>
      </c>
      <c r="AY40" s="147">
        <f>AY23*'Data Entry'!$D$46</f>
        <v>8430.51</v>
      </c>
      <c r="AZ40" s="147">
        <f>AZ23*'Data Entry'!$D$46</f>
        <v>8501.9549999999999</v>
      </c>
      <c r="BA40" s="147">
        <f>BA23*'Data Entry'!$D$46</f>
        <v>8573.4</v>
      </c>
      <c r="BB40" s="147">
        <f>BB23*'Data Entry'!$D$46</f>
        <v>8644.8449999999993</v>
      </c>
      <c r="BC40" s="147">
        <f>BC23*'Data Entry'!$D$46</f>
        <v>8716.2899999999991</v>
      </c>
      <c r="BD40" s="147">
        <f>BD23*'Data Entry'!$D$46</f>
        <v>8787.7350000000006</v>
      </c>
      <c r="BE40" s="147">
        <f>BE23*'Data Entry'!$D$46</f>
        <v>8859.18</v>
      </c>
      <c r="BF40" s="147">
        <f>BF23*'Data Entry'!$D$46</f>
        <v>8930.625</v>
      </c>
      <c r="BG40" s="147">
        <f>BG23*'Data Entry'!$D$46</f>
        <v>9002.07</v>
      </c>
      <c r="BH40" s="147">
        <f>BH23*'Data Entry'!$D$46</f>
        <v>9073.5149999999994</v>
      </c>
      <c r="BI40" s="147">
        <f>BI23*'Data Entry'!$D$46</f>
        <v>9144.9600000000009</v>
      </c>
      <c r="BJ40" s="147"/>
      <c r="BK40" s="147">
        <f>SUM(B40:M40)</f>
        <v>28292.22</v>
      </c>
      <c r="BL40" s="147">
        <f t="shared" si="218"/>
        <v>48868.380000000005</v>
      </c>
      <c r="BM40" s="147">
        <f t="shared" si="219"/>
        <v>69444.540000000008</v>
      </c>
      <c r="BN40" s="147">
        <f t="shared" si="220"/>
        <v>90020.699999999983</v>
      </c>
      <c r="BO40" s="147">
        <f t="shared" si="221"/>
        <v>105024.15000000002</v>
      </c>
      <c r="BP40" s="147"/>
      <c r="BQ40" s="393">
        <f t="shared" si="186"/>
        <v>7.3333333333333334E-2</v>
      </c>
      <c r="BR40" s="393">
        <f t="shared" si="187"/>
        <v>7.3333333333333334E-2</v>
      </c>
      <c r="BS40" s="393">
        <f t="shared" si="188"/>
        <v>7.3333333333333348E-2</v>
      </c>
      <c r="BT40" s="393">
        <f t="shared" si="189"/>
        <v>7.333333333333332E-2</v>
      </c>
      <c r="BU40" s="393">
        <f t="shared" si="190"/>
        <v>7.3333333333333348E-2</v>
      </c>
      <c r="BV40" s="161"/>
      <c r="BW40" s="179" t="s">
        <v>195</v>
      </c>
      <c r="BX40" s="179"/>
      <c r="BY40" s="179"/>
    </row>
    <row r="41" spans="1:77">
      <c r="A41" s="260" t="s">
        <v>299</v>
      </c>
      <c r="B41" s="256">
        <f>B24*'Data Entry'!$D$80</f>
        <v>59.610752244450488</v>
      </c>
      <c r="C41" s="256">
        <f>C24*'Data Entry'!$D$80</f>
        <v>65.029911539400544</v>
      </c>
      <c r="D41" s="256">
        <f>D24*'Data Entry'!$D$80</f>
        <v>70.449070834350579</v>
      </c>
      <c r="E41" s="256">
        <f>E24*'Data Entry'!$D$80</f>
        <v>75.868230129300628</v>
      </c>
      <c r="F41" s="256">
        <f>F24*'Data Entry'!$D$80</f>
        <v>81.287389424250676</v>
      </c>
      <c r="G41" s="256">
        <f>G24*'Data Entry'!$D$80</f>
        <v>86.706548719200711</v>
      </c>
      <c r="H41" s="256">
        <f>H24*'Data Entry'!$D$80</f>
        <v>92.12570801415076</v>
      </c>
      <c r="I41" s="256">
        <f>I24*'Data Entry'!$D$80</f>
        <v>97.544867309100823</v>
      </c>
      <c r="J41" s="256">
        <f>J24*'Data Entry'!$D$80</f>
        <v>102.96402660405084</v>
      </c>
      <c r="K41" s="256">
        <f>K24*'Data Entry'!$D$80</f>
        <v>108.38318589900089</v>
      </c>
      <c r="L41" s="256">
        <f>L24*'Data Entry'!$D$80</f>
        <v>113.80234519395094</v>
      </c>
      <c r="M41" s="256">
        <f>M24*'Data Entry'!$D$80</f>
        <v>119.22150448890098</v>
      </c>
      <c r="N41" s="256">
        <f>N24*'Data Entry'!$D$80</f>
        <v>124.64066378385105</v>
      </c>
      <c r="O41" s="256">
        <f>O24*'Data Entry'!$D$80</f>
        <v>130.05982307880109</v>
      </c>
      <c r="P41" s="256">
        <f>P24*'Data Entry'!$D$80</f>
        <v>135.47898237375111</v>
      </c>
      <c r="Q41" s="256">
        <f>Q24*'Data Entry'!$D$80</f>
        <v>140.89814166870116</v>
      </c>
      <c r="R41" s="256">
        <f>R24*'Data Entry'!$D$80</f>
        <v>146.31730096365121</v>
      </c>
      <c r="S41" s="256">
        <f>S24*'Data Entry'!$D$80</f>
        <v>151.73646025860126</v>
      </c>
      <c r="T41" s="256">
        <f>T24*'Data Entry'!$D$80</f>
        <v>157.1556195535513</v>
      </c>
      <c r="U41" s="256">
        <f>U24*'Data Entry'!$D$80</f>
        <v>162.57477884850135</v>
      </c>
      <c r="V41" s="256">
        <f>V24*'Data Entry'!$D$80</f>
        <v>167.9939381434514</v>
      </c>
      <c r="W41" s="256">
        <f>W24*'Data Entry'!$D$80</f>
        <v>173.41309743840142</v>
      </c>
      <c r="X41" s="256">
        <f>X24*'Data Entry'!$D$80</f>
        <v>178.83225673335147</v>
      </c>
      <c r="Y41" s="256">
        <f>Y24*'Data Entry'!$D$80</f>
        <v>184.25141602830152</v>
      </c>
      <c r="Z41" s="256">
        <f>Z24*'Data Entry'!$D$80</f>
        <v>189.67057532325157</v>
      </c>
      <c r="AA41" s="256">
        <f>AA24*'Data Entry'!$D$80</f>
        <v>195.08973461820165</v>
      </c>
      <c r="AB41" s="256">
        <f>AB24*'Data Entry'!$D$80</f>
        <v>200.50889391315167</v>
      </c>
      <c r="AC41" s="256">
        <f>AC24*'Data Entry'!$D$80</f>
        <v>205.92805320810169</v>
      </c>
      <c r="AD41" s="256">
        <f>AD24*'Data Entry'!$D$80</f>
        <v>211.34721250305176</v>
      </c>
      <c r="AE41" s="256">
        <f>AE24*'Data Entry'!$D$80</f>
        <v>216.76637179800179</v>
      </c>
      <c r="AF41" s="256">
        <f>AF24*'Data Entry'!$D$80</f>
        <v>222.18553109295186</v>
      </c>
      <c r="AG41" s="256">
        <f>AG24*'Data Entry'!$D$80</f>
        <v>227.60469038790188</v>
      </c>
      <c r="AH41" s="256">
        <f>AH24*'Data Entry'!$D$80</f>
        <v>233.02384968285193</v>
      </c>
      <c r="AI41" s="256">
        <f>AI24*'Data Entry'!$D$80</f>
        <v>238.44300897780195</v>
      </c>
      <c r="AJ41" s="256">
        <f>AJ24*'Data Entry'!$D$80</f>
        <v>243.862168272752</v>
      </c>
      <c r="AK41" s="256">
        <f>AK24*'Data Entry'!$D$80</f>
        <v>249.28132756770211</v>
      </c>
      <c r="AL41" s="256">
        <f>AL24*'Data Entry'!$D$80</f>
        <v>254.7004868626521</v>
      </c>
      <c r="AM41" s="256">
        <f>AM24*'Data Entry'!$D$80</f>
        <v>260.11964615760218</v>
      </c>
      <c r="AN41" s="256">
        <f>AN24*'Data Entry'!$D$80</f>
        <v>265.5388054525522</v>
      </c>
      <c r="AO41" s="256">
        <f>AO24*'Data Entry'!$D$80</f>
        <v>270.95796474750222</v>
      </c>
      <c r="AP41" s="256">
        <f>AP24*'Data Entry'!$D$80</f>
        <v>276.37712404245229</v>
      </c>
      <c r="AQ41" s="256">
        <f>AQ24*'Data Entry'!$D$80</f>
        <v>281.79628333740231</v>
      </c>
      <c r="AR41" s="256">
        <f>AR24*'Data Entry'!$D$80</f>
        <v>287.21544263235239</v>
      </c>
      <c r="AS41" s="256">
        <f>AS24*'Data Entry'!$D$80</f>
        <v>292.63460192730241</v>
      </c>
      <c r="AT41" s="256">
        <f>AT24*'Data Entry'!$D$80</f>
        <v>298.05376122225249</v>
      </c>
      <c r="AU41" s="256">
        <f>AU24*'Data Entry'!$D$80</f>
        <v>303.47292051720251</v>
      </c>
      <c r="AV41" s="256">
        <f>AV24*'Data Entry'!$D$80</f>
        <v>308.89207981215253</v>
      </c>
      <c r="AW41" s="256">
        <f>AW24*'Data Entry'!$D$80</f>
        <v>314.31123910710261</v>
      </c>
      <c r="AX41" s="256">
        <f>AX24*'Data Entry'!$D$80</f>
        <v>317.02081875457765</v>
      </c>
      <c r="AY41" s="256">
        <f>AY24*'Data Entry'!$D$80</f>
        <v>319.73039840205263</v>
      </c>
      <c r="AZ41" s="256">
        <f>AZ24*'Data Entry'!$D$80</f>
        <v>322.43997804952767</v>
      </c>
      <c r="BA41" s="256">
        <f>BA24*'Data Entry'!$D$80</f>
        <v>325.14955769700271</v>
      </c>
      <c r="BB41" s="256">
        <f>BB24*'Data Entry'!$D$80</f>
        <v>327.85913734447769</v>
      </c>
      <c r="BC41" s="256">
        <f>BC24*'Data Entry'!$D$80</f>
        <v>330.56871699195273</v>
      </c>
      <c r="BD41" s="256">
        <f>BD24*'Data Entry'!$D$80</f>
        <v>333.27829663942777</v>
      </c>
      <c r="BE41" s="256">
        <f>BE24*'Data Entry'!$D$80</f>
        <v>335.9878762869028</v>
      </c>
      <c r="BF41" s="256">
        <f>BF24*'Data Entry'!$D$80</f>
        <v>338.69745593437779</v>
      </c>
      <c r="BG41" s="256">
        <f>BG24*'Data Entry'!$D$80</f>
        <v>341.40703558185282</v>
      </c>
      <c r="BH41" s="256">
        <f>BH24*'Data Entry'!$D$80</f>
        <v>344.11661522932786</v>
      </c>
      <c r="BI41" s="256">
        <f>BI24*'Data Entry'!$D$80</f>
        <v>346.82619487680284</v>
      </c>
      <c r="BJ41" s="256"/>
      <c r="BK41" s="256">
        <f>SUM(B41:M41)</f>
        <v>1072.9935404001089</v>
      </c>
      <c r="BL41" s="256">
        <f t="shared" si="218"/>
        <v>1853.3524788729153</v>
      </c>
      <c r="BM41" s="256">
        <f t="shared" si="219"/>
        <v>2633.7114173457221</v>
      </c>
      <c r="BN41" s="256">
        <f t="shared" si="220"/>
        <v>3414.0703558185282</v>
      </c>
      <c r="BO41" s="256">
        <f t="shared" si="221"/>
        <v>3983.0820817882836</v>
      </c>
      <c r="BP41" s="256"/>
      <c r="BQ41" s="144">
        <f t="shared" si="186"/>
        <v>2.7811954297921708E-3</v>
      </c>
      <c r="BR41" s="144">
        <f t="shared" si="187"/>
        <v>2.7811954297921708E-3</v>
      </c>
      <c r="BS41" s="144">
        <f t="shared" si="188"/>
        <v>2.7811954297921712E-3</v>
      </c>
      <c r="BT41" s="144">
        <f t="shared" si="189"/>
        <v>2.7811954297921708E-3</v>
      </c>
      <c r="BU41" s="144">
        <f t="shared" si="190"/>
        <v>2.7811954297921712E-3</v>
      </c>
      <c r="BV41" s="178"/>
      <c r="BW41" s="136"/>
      <c r="BX41" s="136"/>
    </row>
    <row r="42" spans="1:77">
      <c r="A42" s="260" t="s">
        <v>470</v>
      </c>
      <c r="B42" s="256">
        <f>SUM(B39:B41)*'Data Entry'!$D$49</f>
        <v>387.17492632855584</v>
      </c>
      <c r="C42" s="256">
        <f>SUM(C39:C41)*'Data Entry'!$D$49</f>
        <v>422.37264690387906</v>
      </c>
      <c r="D42" s="256">
        <f>SUM(D39:D41)*'Data Entry'!$D$49</f>
        <v>457.57036747920233</v>
      </c>
      <c r="E42" s="256">
        <f>SUM(E39:E41)*'Data Entry'!$D$49</f>
        <v>492.76808805452561</v>
      </c>
      <c r="F42" s="256">
        <f>SUM(F39:F41)*'Data Entry'!$D$49</f>
        <v>527.96580862984877</v>
      </c>
      <c r="G42" s="256">
        <f>SUM(G39:G41)*'Data Entry'!$D$49</f>
        <v>563.16352920517204</v>
      </c>
      <c r="H42" s="256">
        <f>SUM(H39:H41)*'Data Entry'!$D$49</f>
        <v>598.36124978049531</v>
      </c>
      <c r="I42" s="256">
        <f>SUM(I39:I41)*'Data Entry'!$D$49</f>
        <v>633.55897035581859</v>
      </c>
      <c r="J42" s="256">
        <f>SUM(J39:J41)*'Data Entry'!$D$49</f>
        <v>668.75669093114197</v>
      </c>
      <c r="K42" s="256">
        <f>SUM(K39:K41)*'Data Entry'!$D$49</f>
        <v>703.95441150646502</v>
      </c>
      <c r="L42" s="256">
        <f>SUM(L39:L41)*'Data Entry'!$D$49</f>
        <v>739.1521320817883</v>
      </c>
      <c r="M42" s="256">
        <f>SUM(M39:M41)*'Data Entry'!$D$49</f>
        <v>774.34985265711168</v>
      </c>
      <c r="N42" s="256">
        <f>SUM(N39:N41)*'Data Entry'!$D$49</f>
        <v>809.54757323243496</v>
      </c>
      <c r="O42" s="256">
        <f>SUM(O39:O41)*'Data Entry'!$D$49</f>
        <v>844.74529380775812</v>
      </c>
      <c r="P42" s="256">
        <f>SUM(P39:P41)*'Data Entry'!$D$49</f>
        <v>879.94301438308139</v>
      </c>
      <c r="Q42" s="256">
        <f>SUM(Q39:Q41)*'Data Entry'!$D$49</f>
        <v>915.14073495840466</v>
      </c>
      <c r="R42" s="256">
        <f>SUM(R39:R41)*'Data Entry'!$D$49</f>
        <v>950.33845553372794</v>
      </c>
      <c r="S42" s="256">
        <f>SUM(S39:S41)*'Data Entry'!$D$49</f>
        <v>985.53617610905121</v>
      </c>
      <c r="T42" s="256">
        <f>SUM(T39:T41)*'Data Entry'!$D$49</f>
        <v>1020.7338966843744</v>
      </c>
      <c r="U42" s="256">
        <f>SUM(U39:U41)*'Data Entry'!$D$49</f>
        <v>1055.9316172596975</v>
      </c>
      <c r="V42" s="256">
        <f>SUM(V39:V41)*'Data Entry'!$D$49</f>
        <v>1091.1293378350208</v>
      </c>
      <c r="W42" s="256">
        <f>SUM(W39:W41)*'Data Entry'!$D$49</f>
        <v>1126.3270584103441</v>
      </c>
      <c r="X42" s="256">
        <f>SUM(X39:X41)*'Data Entry'!$D$49</f>
        <v>1161.5247789856676</v>
      </c>
      <c r="Y42" s="256">
        <f>SUM(Y39:Y41)*'Data Entry'!$D$49</f>
        <v>1196.7224995609906</v>
      </c>
      <c r="Z42" s="256">
        <f>SUM(Z39:Z41)*'Data Entry'!$D$49</f>
        <v>1231.9202201363141</v>
      </c>
      <c r="AA42" s="256">
        <f>SUM(AA39:AA41)*'Data Entry'!$D$49</f>
        <v>1267.1179407116372</v>
      </c>
      <c r="AB42" s="256">
        <f>SUM(AB39:AB41)*'Data Entry'!$D$49</f>
        <v>1302.3156612869604</v>
      </c>
      <c r="AC42" s="256">
        <f>SUM(AC39:AC41)*'Data Entry'!$D$49</f>
        <v>1337.5133818622839</v>
      </c>
      <c r="AD42" s="256">
        <f>SUM(AD39:AD41)*'Data Entry'!$D$49</f>
        <v>1372.7111024376068</v>
      </c>
      <c r="AE42" s="256">
        <f>SUM(AE39:AE41)*'Data Entry'!$D$49</f>
        <v>1407.90882301293</v>
      </c>
      <c r="AF42" s="256">
        <f>SUM(AF39:AF41)*'Data Entry'!$D$49</f>
        <v>1443.1065435882535</v>
      </c>
      <c r="AG42" s="256">
        <f>SUM(AG39:AG41)*'Data Entry'!$D$49</f>
        <v>1478.3042641635766</v>
      </c>
      <c r="AH42" s="256">
        <f>SUM(AH39:AH41)*'Data Entry'!$D$49</f>
        <v>1513.5019847389001</v>
      </c>
      <c r="AI42" s="256">
        <f>SUM(AI39:AI41)*'Data Entry'!$D$49</f>
        <v>1548.6997053142234</v>
      </c>
      <c r="AJ42" s="256">
        <f>SUM(AJ39:AJ41)*'Data Entry'!$D$49</f>
        <v>1583.8974258895466</v>
      </c>
      <c r="AK42" s="256">
        <f>SUM(AK39:AK41)*'Data Entry'!$D$49</f>
        <v>1619.0951464648699</v>
      </c>
      <c r="AL42" s="256">
        <f>SUM(AL39:AL41)*'Data Entry'!$D$49</f>
        <v>1654.292867040193</v>
      </c>
      <c r="AM42" s="256">
        <f>SUM(AM39:AM41)*'Data Entry'!$D$49</f>
        <v>1689.4905876155162</v>
      </c>
      <c r="AN42" s="256">
        <f>SUM(AN39:AN41)*'Data Entry'!$D$49</f>
        <v>1724.6883081908395</v>
      </c>
      <c r="AO42" s="256">
        <f>SUM(AO39:AO41)*'Data Entry'!$D$49</f>
        <v>1759.8860287661628</v>
      </c>
      <c r="AP42" s="256">
        <f>SUM(AP39:AP41)*'Data Entry'!$D$49</f>
        <v>1795.0837493414863</v>
      </c>
      <c r="AQ42" s="256">
        <f>SUM(AQ39:AQ41)*'Data Entry'!$D$49</f>
        <v>1830.2814699168093</v>
      </c>
      <c r="AR42" s="256">
        <f>SUM(AR39:AR41)*'Data Entry'!$D$49</f>
        <v>1865.4791904921324</v>
      </c>
      <c r="AS42" s="256">
        <f>SUM(AS39:AS41)*'Data Entry'!$D$49</f>
        <v>1900.6769110674559</v>
      </c>
      <c r="AT42" s="256">
        <f>SUM(AT39:AT41)*'Data Entry'!$D$49</f>
        <v>1935.8746316427789</v>
      </c>
      <c r="AU42" s="256">
        <f>SUM(AU39:AU41)*'Data Entry'!$D$49</f>
        <v>1971.0723522181024</v>
      </c>
      <c r="AV42" s="256">
        <f>SUM(AV39:AV41)*'Data Entry'!$D$49</f>
        <v>2006.2700727934257</v>
      </c>
      <c r="AW42" s="256">
        <f>SUM(AW39:AW41)*'Data Entry'!$D$49</f>
        <v>2041.4677933687487</v>
      </c>
      <c r="AX42" s="256">
        <f>SUM(AX39:AX41)*'Data Entry'!$D$49</f>
        <v>2059.0666536564104</v>
      </c>
      <c r="AY42" s="256">
        <f>SUM(AY39:AY41)*'Data Entry'!$D$49</f>
        <v>2076.6655139440722</v>
      </c>
      <c r="AZ42" s="256">
        <f>SUM(AZ39:AZ41)*'Data Entry'!$D$49</f>
        <v>2094.2643742317341</v>
      </c>
      <c r="BA42" s="256">
        <f>SUM(BA39:BA41)*'Data Entry'!$D$49</f>
        <v>2111.8632345193951</v>
      </c>
      <c r="BB42" s="256">
        <f>SUM(BB39:BB41)*'Data Entry'!$D$49</f>
        <v>2129.4620948070569</v>
      </c>
      <c r="BC42" s="256">
        <f>SUM(BC39:BC41)*'Data Entry'!$D$49</f>
        <v>2147.0609550947188</v>
      </c>
      <c r="BD42" s="256">
        <f>SUM(BD39:BD41)*'Data Entry'!$D$49</f>
        <v>2164.6598153823802</v>
      </c>
      <c r="BE42" s="256">
        <f>SUM(BE39:BE41)*'Data Entry'!$D$49</f>
        <v>2182.2586756700416</v>
      </c>
      <c r="BF42" s="256">
        <f>SUM(BF39:BF41)*'Data Entry'!$D$49</f>
        <v>2199.8575359577035</v>
      </c>
      <c r="BG42" s="256">
        <f>SUM(BG39:BG41)*'Data Entry'!$D$49</f>
        <v>2217.4563962453653</v>
      </c>
      <c r="BH42" s="256">
        <f>SUM(BH39:BH41)*'Data Entry'!$D$49</f>
        <v>2235.0552565330267</v>
      </c>
      <c r="BI42" s="256">
        <f>SUM(BI39:BI41)*'Data Entry'!$D$49</f>
        <v>2252.6541168206882</v>
      </c>
      <c r="BJ42" s="256"/>
      <c r="BK42" s="256">
        <f>SUM(B42:M42)</f>
        <v>6969.1486739140046</v>
      </c>
      <c r="BL42" s="256">
        <f t="shared" ref="BL42" si="222">SUM(N42:Y42)</f>
        <v>12037.620436760553</v>
      </c>
      <c r="BM42" s="256">
        <f t="shared" ref="BM42" si="223">SUM(Z42:AK42)</f>
        <v>17106.092199607101</v>
      </c>
      <c r="BN42" s="256">
        <f t="shared" ref="BN42" si="224">SUM(AL42:AW42)</f>
        <v>22174.563962453649</v>
      </c>
      <c r="BO42" s="256">
        <f t="shared" ref="BO42" si="225">SUM(AX42:BI42)</f>
        <v>25870.324622862594</v>
      </c>
      <c r="BP42" s="256"/>
      <c r="BQ42" s="144">
        <f t="shared" si="186"/>
        <v>1.8064008506709396E-2</v>
      </c>
      <c r="BR42" s="144">
        <f t="shared" si="187"/>
        <v>1.8064008506709396E-2</v>
      </c>
      <c r="BS42" s="144">
        <f t="shared" si="188"/>
        <v>1.8064008506709393E-2</v>
      </c>
      <c r="BT42" s="144">
        <f t="shared" si="189"/>
        <v>1.8064008506709393E-2</v>
      </c>
      <c r="BU42" s="144">
        <f t="shared" si="190"/>
        <v>1.8064008506709396E-2</v>
      </c>
      <c r="BV42" s="368"/>
      <c r="BW42" s="136"/>
      <c r="BX42" s="136"/>
    </row>
    <row r="43" spans="1:77" ht="15" customHeight="1">
      <c r="A43" s="129" t="s">
        <v>193</v>
      </c>
      <c r="B43" s="257">
        <f>SUM(B39:B42)</f>
        <v>11449.315678573008</v>
      </c>
      <c r="C43" s="257">
        <f t="shared" ref="C43:BI43" si="226">SUM(C39:C42)</f>
        <v>12490.16255844328</v>
      </c>
      <c r="D43" s="257">
        <f t="shared" si="226"/>
        <v>13531.009438313553</v>
      </c>
      <c r="E43" s="257">
        <f t="shared" si="226"/>
        <v>14571.856318183827</v>
      </c>
      <c r="F43" s="257">
        <f t="shared" si="226"/>
        <v>15612.7031980541</v>
      </c>
      <c r="G43" s="257">
        <f t="shared" si="226"/>
        <v>16653.55007792437</v>
      </c>
      <c r="H43" s="257">
        <f t="shared" si="226"/>
        <v>17694.396957794648</v>
      </c>
      <c r="I43" s="257">
        <f t="shared" si="226"/>
        <v>18735.243837664919</v>
      </c>
      <c r="J43" s="257">
        <f t="shared" si="226"/>
        <v>19776.090717535197</v>
      </c>
      <c r="K43" s="257">
        <f t="shared" si="226"/>
        <v>20816.937597405464</v>
      </c>
      <c r="L43" s="257">
        <f t="shared" si="226"/>
        <v>21857.784477275738</v>
      </c>
      <c r="M43" s="257">
        <f t="shared" si="226"/>
        <v>22898.631357146016</v>
      </c>
      <c r="N43" s="257">
        <f t="shared" si="226"/>
        <v>23939.478237016287</v>
      </c>
      <c r="O43" s="257">
        <f t="shared" si="226"/>
        <v>24980.325116886561</v>
      </c>
      <c r="P43" s="257">
        <f t="shared" si="226"/>
        <v>26021.171996756835</v>
      </c>
      <c r="Q43" s="257">
        <f t="shared" si="226"/>
        <v>27062.018876627106</v>
      </c>
      <c r="R43" s="257">
        <f t="shared" si="226"/>
        <v>28102.86575649738</v>
      </c>
      <c r="S43" s="257">
        <f t="shared" si="226"/>
        <v>29143.712636367654</v>
      </c>
      <c r="T43" s="257">
        <f t="shared" si="226"/>
        <v>30184.559516237925</v>
      </c>
      <c r="U43" s="257">
        <f t="shared" si="226"/>
        <v>31225.406396108199</v>
      </c>
      <c r="V43" s="257">
        <f t="shared" si="226"/>
        <v>32266.25327597847</v>
      </c>
      <c r="W43" s="257">
        <f t="shared" si="226"/>
        <v>33307.100155848741</v>
      </c>
      <c r="X43" s="257">
        <f t="shared" si="226"/>
        <v>34347.947035719022</v>
      </c>
      <c r="Y43" s="257">
        <f t="shared" si="226"/>
        <v>35388.793915589296</v>
      </c>
      <c r="Z43" s="257">
        <f t="shared" si="226"/>
        <v>36429.640795459571</v>
      </c>
      <c r="AA43" s="257">
        <f t="shared" si="226"/>
        <v>37470.487675329838</v>
      </c>
      <c r="AB43" s="257">
        <f t="shared" si="226"/>
        <v>38511.334555200112</v>
      </c>
      <c r="AC43" s="257">
        <f t="shared" si="226"/>
        <v>39552.181435070393</v>
      </c>
      <c r="AD43" s="257">
        <f t="shared" si="226"/>
        <v>40593.028314940653</v>
      </c>
      <c r="AE43" s="257">
        <f t="shared" si="226"/>
        <v>41633.875194810927</v>
      </c>
      <c r="AF43" s="257">
        <f t="shared" si="226"/>
        <v>42674.722074681209</v>
      </c>
      <c r="AG43" s="257">
        <f t="shared" si="226"/>
        <v>43715.568954551476</v>
      </c>
      <c r="AH43" s="257">
        <f t="shared" si="226"/>
        <v>44756.41583442175</v>
      </c>
      <c r="AI43" s="257">
        <f t="shared" si="226"/>
        <v>45797.262714292032</v>
      </c>
      <c r="AJ43" s="257">
        <f t="shared" si="226"/>
        <v>46838.109594162306</v>
      </c>
      <c r="AK43" s="257">
        <f t="shared" si="226"/>
        <v>47878.956474032573</v>
      </c>
      <c r="AL43" s="257">
        <f t="shared" si="226"/>
        <v>48919.803353902847</v>
      </c>
      <c r="AM43" s="257">
        <f t="shared" si="226"/>
        <v>49960.650233773122</v>
      </c>
      <c r="AN43" s="257">
        <f t="shared" si="226"/>
        <v>51001.497113643389</v>
      </c>
      <c r="AO43" s="257">
        <f t="shared" si="226"/>
        <v>52042.34399351367</v>
      </c>
      <c r="AP43" s="257">
        <f t="shared" si="226"/>
        <v>53083.190873383945</v>
      </c>
      <c r="AQ43" s="257">
        <f t="shared" si="226"/>
        <v>54124.037753254212</v>
      </c>
      <c r="AR43" s="257">
        <f t="shared" si="226"/>
        <v>55164.884633124479</v>
      </c>
      <c r="AS43" s="257">
        <f t="shared" si="226"/>
        <v>56205.73151299476</v>
      </c>
      <c r="AT43" s="257">
        <f t="shared" si="226"/>
        <v>57246.578392865027</v>
      </c>
      <c r="AU43" s="257">
        <f t="shared" si="226"/>
        <v>58287.425272735309</v>
      </c>
      <c r="AV43" s="257">
        <f t="shared" si="226"/>
        <v>59328.272152605583</v>
      </c>
      <c r="AW43" s="257">
        <f t="shared" si="226"/>
        <v>60369.11903247585</v>
      </c>
      <c r="AX43" s="257">
        <f t="shared" si="226"/>
        <v>60889.542472410991</v>
      </c>
      <c r="AY43" s="257">
        <f t="shared" si="226"/>
        <v>61409.965912346124</v>
      </c>
      <c r="AZ43" s="257">
        <f t="shared" si="226"/>
        <v>61930.389352281272</v>
      </c>
      <c r="BA43" s="257">
        <f t="shared" si="226"/>
        <v>62450.812792216399</v>
      </c>
      <c r="BB43" s="257">
        <f t="shared" si="226"/>
        <v>62971.236232151539</v>
      </c>
      <c r="BC43" s="257">
        <f t="shared" si="226"/>
        <v>63491.65967208668</v>
      </c>
      <c r="BD43" s="257">
        <f t="shared" si="226"/>
        <v>64012.083112021814</v>
      </c>
      <c r="BE43" s="257">
        <f t="shared" si="226"/>
        <v>64532.50655195694</v>
      </c>
      <c r="BF43" s="257">
        <f t="shared" si="226"/>
        <v>65052.929991892081</v>
      </c>
      <c r="BG43" s="257">
        <f t="shared" si="226"/>
        <v>65573.353431827229</v>
      </c>
      <c r="BH43" s="257">
        <f t="shared" si="226"/>
        <v>66093.776871762355</v>
      </c>
      <c r="BI43" s="257">
        <f t="shared" si="226"/>
        <v>66614.200311697481</v>
      </c>
      <c r="BJ43" s="257"/>
      <c r="BK43" s="257">
        <f>SUM(B43:M43)</f>
        <v>206087.68221431412</v>
      </c>
      <c r="BL43" s="257">
        <f t="shared" ref="BL43" si="227">SUM(N43:Y43)</f>
        <v>355969.63291563344</v>
      </c>
      <c r="BM43" s="257">
        <f t="shared" ref="BM43" si="228">SUM(Z43:AK43)</f>
        <v>505851.58361695288</v>
      </c>
      <c r="BN43" s="257">
        <f t="shared" ref="BN43" si="229">SUM(AL43:AW43)</f>
        <v>655733.53431827214</v>
      </c>
      <c r="BO43" s="257">
        <f t="shared" ref="BO43" si="230">SUM(AX43:BI43)</f>
        <v>765022.45670465089</v>
      </c>
      <c r="BP43" s="256"/>
      <c r="BQ43" s="398">
        <f t="shared" si="186"/>
        <v>0.53417853726983489</v>
      </c>
      <c r="BR43" s="398">
        <f t="shared" si="187"/>
        <v>0.53417853726983489</v>
      </c>
      <c r="BS43" s="398">
        <f t="shared" si="188"/>
        <v>0.534178537269835</v>
      </c>
      <c r="BT43" s="398">
        <f t="shared" si="189"/>
        <v>0.53417853726983489</v>
      </c>
      <c r="BU43" s="398">
        <f t="shared" si="190"/>
        <v>0.53417853726983489</v>
      </c>
      <c r="BV43" s="117"/>
    </row>
    <row r="44" spans="1:77" s="136" customFormat="1" ht="13.5" customHeight="1">
      <c r="C44" s="175"/>
      <c r="D44" s="175"/>
      <c r="E44" s="175"/>
      <c r="F44" s="175"/>
      <c r="G44" s="175"/>
      <c r="H44" s="175"/>
      <c r="I44" s="175"/>
      <c r="J44" s="175"/>
      <c r="K44" s="175" t="s">
        <v>81</v>
      </c>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Q44" s="186"/>
      <c r="BR44" s="186"/>
      <c r="BS44" s="186"/>
      <c r="BT44" s="186"/>
      <c r="BU44" s="186"/>
    </row>
    <row r="45" spans="1:77" s="136" customFormat="1" ht="13.5" customHeight="1">
      <c r="A45" s="266" t="s">
        <v>302</v>
      </c>
      <c r="B45" s="174"/>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35"/>
      <c r="BL45" s="174"/>
      <c r="BM45" s="174"/>
      <c r="BN45" s="174"/>
      <c r="BO45" s="174"/>
      <c r="BP45" s="174"/>
      <c r="BQ45" s="400"/>
      <c r="BR45" s="401"/>
      <c r="BS45" s="401"/>
      <c r="BT45" s="401"/>
      <c r="BU45" s="401"/>
      <c r="BY45" s="178"/>
    </row>
    <row r="46" spans="1:77">
      <c r="A46" s="267" t="s">
        <v>51</v>
      </c>
      <c r="B46" s="147">
        <f>B26*'Data Entry'!$D$73</f>
        <v>845.16473250000001</v>
      </c>
      <c r="C46" s="147">
        <f>C26*'Data Entry'!$D$73</f>
        <v>921.99788999999987</v>
      </c>
      <c r="D46" s="147">
        <f>D26*'Data Entry'!$D$73</f>
        <v>998.83104750000018</v>
      </c>
      <c r="E46" s="147">
        <f>E26*'Data Entry'!$D$73</f>
        <v>1075.664205</v>
      </c>
      <c r="F46" s="147">
        <f>F26*'Data Entry'!$D$73</f>
        <v>1152.4973624999998</v>
      </c>
      <c r="G46" s="147">
        <f>G26*'Data Entry'!$D$73</f>
        <v>1229.33052</v>
      </c>
      <c r="H46" s="147">
        <f>H26*'Data Entry'!$D$73</f>
        <v>1306.1636774999999</v>
      </c>
      <c r="I46" s="147">
        <f>I26*'Data Entry'!$D$73</f>
        <v>1382.9968350000001</v>
      </c>
      <c r="J46" s="147">
        <f>J26*'Data Entry'!$D$73</f>
        <v>1459.8299925000001</v>
      </c>
      <c r="K46" s="147">
        <f>K26*'Data Entry'!$D$73</f>
        <v>1536.6631499999999</v>
      </c>
      <c r="L46" s="147">
        <f>L26*'Data Entry'!$D$73</f>
        <v>1613.4963075000001</v>
      </c>
      <c r="M46" s="147">
        <f>M26*'Data Entry'!$D$73</f>
        <v>1690.329465</v>
      </c>
      <c r="N46" s="147">
        <f>N26*'Data Entry'!$D$73</f>
        <v>1767.1626225000002</v>
      </c>
      <c r="O46" s="147">
        <f>O26*'Data Entry'!$D$73</f>
        <v>1843.9957799999997</v>
      </c>
      <c r="P46" s="147">
        <f>P26*'Data Entry'!$D$73</f>
        <v>1920.8289375000002</v>
      </c>
      <c r="Q46" s="147">
        <f>Q26*'Data Entry'!$D$73</f>
        <v>1997.6620950000004</v>
      </c>
      <c r="R46" s="147">
        <f>R26*'Data Entry'!$D$73</f>
        <v>2074.4952525000003</v>
      </c>
      <c r="S46" s="147">
        <f>S26*'Data Entry'!$D$73</f>
        <v>2151.3284100000001</v>
      </c>
      <c r="T46" s="147">
        <f>T26*'Data Entry'!$D$73</f>
        <v>2228.1615675000003</v>
      </c>
      <c r="U46" s="147">
        <f>U26*'Data Entry'!$D$73</f>
        <v>2304.9947249999996</v>
      </c>
      <c r="V46" s="147">
        <f>V26*'Data Entry'!$D$73</f>
        <v>2381.8278825000002</v>
      </c>
      <c r="W46" s="147">
        <f>W26*'Data Entry'!$D$73</f>
        <v>2458.66104</v>
      </c>
      <c r="X46" s="147">
        <f>X26*'Data Entry'!$D$73</f>
        <v>2535.4941975000002</v>
      </c>
      <c r="Y46" s="147">
        <f>Y26*'Data Entry'!$D$73</f>
        <v>2612.3273549999999</v>
      </c>
      <c r="Z46" s="147">
        <f>Z26*'Data Entry'!$D$73</f>
        <v>2689.1605125000001</v>
      </c>
      <c r="AA46" s="147">
        <f>AA26*'Data Entry'!$D$73</f>
        <v>2765.9936700000003</v>
      </c>
      <c r="AB46" s="147">
        <f>AB26*'Data Entry'!$D$73</f>
        <v>2842.8268275000005</v>
      </c>
      <c r="AC46" s="147">
        <f>AC26*'Data Entry'!$D$73</f>
        <v>2919.6599850000002</v>
      </c>
      <c r="AD46" s="147">
        <f>AD26*'Data Entry'!$D$73</f>
        <v>2996.4931425</v>
      </c>
      <c r="AE46" s="147">
        <f>AE26*'Data Entry'!$D$73</f>
        <v>3073.3262999999997</v>
      </c>
      <c r="AF46" s="147">
        <f>AF26*'Data Entry'!$D$73</f>
        <v>3150.1594575000004</v>
      </c>
      <c r="AG46" s="147">
        <f>AG26*'Data Entry'!$D$73</f>
        <v>3226.9926150000001</v>
      </c>
      <c r="AH46" s="147">
        <f>AH26*'Data Entry'!$D$73</f>
        <v>3303.8257725000003</v>
      </c>
      <c r="AI46" s="147">
        <f>AI26*'Data Entry'!$D$73</f>
        <v>3380.6589300000001</v>
      </c>
      <c r="AJ46" s="147">
        <f>AJ26*'Data Entry'!$D$73</f>
        <v>3457.4920875000003</v>
      </c>
      <c r="AK46" s="147">
        <f>AK26*'Data Entry'!$D$73</f>
        <v>3534.3252450000005</v>
      </c>
      <c r="AL46" s="147">
        <f>AL26*'Data Entry'!$D$73</f>
        <v>3611.1584025000002</v>
      </c>
      <c r="AM46" s="147">
        <f>AM26*'Data Entry'!$D$73</f>
        <v>3687.9915599999995</v>
      </c>
      <c r="AN46" s="147">
        <f>AN26*'Data Entry'!$D$73</f>
        <v>3764.8247174999997</v>
      </c>
      <c r="AO46" s="147">
        <f>AO26*'Data Entry'!$D$73</f>
        <v>3841.6578750000003</v>
      </c>
      <c r="AP46" s="147">
        <f>AP26*'Data Entry'!$D$73</f>
        <v>3918.4910325000005</v>
      </c>
      <c r="AQ46" s="147">
        <f>AQ26*'Data Entry'!$D$73</f>
        <v>3995.3241900000007</v>
      </c>
      <c r="AR46" s="147">
        <f>AR26*'Data Entry'!$D$73</f>
        <v>4072.1573475</v>
      </c>
      <c r="AS46" s="147">
        <f>AS26*'Data Entry'!$D$73</f>
        <v>4148.9905050000007</v>
      </c>
      <c r="AT46" s="147">
        <f>AT26*'Data Entry'!$D$73</f>
        <v>4225.8236625</v>
      </c>
      <c r="AU46" s="147">
        <f>AU26*'Data Entry'!$D$73</f>
        <v>4302.6568200000002</v>
      </c>
      <c r="AV46" s="147">
        <f>AV26*'Data Entry'!$D$73</f>
        <v>4379.4899775000004</v>
      </c>
      <c r="AW46" s="147">
        <f>AW26*'Data Entry'!$D$73</f>
        <v>4456.3231350000005</v>
      </c>
      <c r="AX46" s="147">
        <f>AX26*'Data Entry'!$D$73</f>
        <v>4494.7397137500002</v>
      </c>
      <c r="AY46" s="147">
        <f>AY26*'Data Entry'!$D$73</f>
        <v>4533.1562924999998</v>
      </c>
      <c r="AZ46" s="147">
        <f>AZ26*'Data Entry'!$D$73</f>
        <v>4571.5728712500004</v>
      </c>
      <c r="BA46" s="147">
        <f>BA26*'Data Entry'!$D$73</f>
        <v>4609.9894499999991</v>
      </c>
      <c r="BB46" s="147">
        <f>BB26*'Data Entry'!$D$73</f>
        <v>4648.4060287499997</v>
      </c>
      <c r="BC46" s="147">
        <f>BC26*'Data Entry'!$D$73</f>
        <v>4686.8226075000002</v>
      </c>
      <c r="BD46" s="147">
        <f>BD26*'Data Entry'!$D$73</f>
        <v>4725.2391862500008</v>
      </c>
      <c r="BE46" s="147">
        <f>BE26*'Data Entry'!$D$73</f>
        <v>4763.6557650000004</v>
      </c>
      <c r="BF46" s="147">
        <f>BF26*'Data Entry'!$D$73</f>
        <v>4802.0723437500001</v>
      </c>
      <c r="BG46" s="147">
        <f>BG26*'Data Entry'!$D$73</f>
        <v>4840.4889225000006</v>
      </c>
      <c r="BH46" s="147">
        <f>BH26*'Data Entry'!$D$73</f>
        <v>4878.9055012500003</v>
      </c>
      <c r="BI46" s="147">
        <f>BI26*'Data Entry'!$D$73</f>
        <v>4917.3220799999999</v>
      </c>
      <c r="BJ46" s="147"/>
      <c r="BK46" s="147">
        <f t="shared" ref="BK46:BK52" si="231">SUM(B46:M46)</f>
        <v>15212.965185000001</v>
      </c>
      <c r="BL46" s="147">
        <f t="shared" ref="BL46:BL52" si="232">SUM(N46:Y46)</f>
        <v>26276.939865000004</v>
      </c>
      <c r="BM46" s="147">
        <f t="shared" ref="BM46:BM52" si="233">SUM(Z46:AK46)</f>
        <v>37340.914545000007</v>
      </c>
      <c r="BN46" s="147">
        <f t="shared" ref="BN46:BN52" si="234">SUM(AL46:AW46)</f>
        <v>48404.889224999999</v>
      </c>
      <c r="BO46" s="147">
        <f t="shared" ref="BO46:BO52" si="235">SUM(AX46:BI46)</f>
        <v>56472.370762500002</v>
      </c>
      <c r="BP46" s="147"/>
      <c r="BQ46" s="393">
        <f t="shared" si="186"/>
        <v>3.9431951501154736E-2</v>
      </c>
      <c r="BR46" s="393">
        <f t="shared" si="187"/>
        <v>3.9431951501154743E-2</v>
      </c>
      <c r="BS46" s="393">
        <f t="shared" si="188"/>
        <v>3.9431951501154743E-2</v>
      </c>
      <c r="BT46" s="393">
        <f t="shared" si="189"/>
        <v>3.9431951501154736E-2</v>
      </c>
      <c r="BU46" s="393">
        <f t="shared" si="190"/>
        <v>3.9431951501154736E-2</v>
      </c>
      <c r="BV46" s="137"/>
    </row>
    <row r="47" spans="1:77">
      <c r="A47" s="260" t="s">
        <v>66</v>
      </c>
      <c r="B47" s="147">
        <f>B26*'Data Entry'!$D$74</f>
        <v>296.95601205572984</v>
      </c>
      <c r="C47" s="147">
        <f>C26*'Data Entry'!$D$74</f>
        <v>323.95201315170522</v>
      </c>
      <c r="D47" s="147">
        <f>D26*'Data Entry'!$D$74</f>
        <v>350.9480142476807</v>
      </c>
      <c r="E47" s="147">
        <f>E26*'Data Entry'!$D$74</f>
        <v>377.94401534365613</v>
      </c>
      <c r="F47" s="147">
        <f>F26*'Data Entry'!$D$74</f>
        <v>404.94001643963151</v>
      </c>
      <c r="G47" s="147">
        <f>G26*'Data Entry'!$D$74</f>
        <v>431.93601753560694</v>
      </c>
      <c r="H47" s="147">
        <f>H26*'Data Entry'!$D$74</f>
        <v>458.93201863158242</v>
      </c>
      <c r="I47" s="147">
        <f>I26*'Data Entry'!$D$74</f>
        <v>485.92801972755785</v>
      </c>
      <c r="J47" s="147">
        <f>J26*'Data Entry'!$D$74</f>
        <v>512.92402082353328</v>
      </c>
      <c r="K47" s="147">
        <f>K26*'Data Entry'!$D$74</f>
        <v>539.92002191950871</v>
      </c>
      <c r="L47" s="147">
        <f>L26*'Data Entry'!$D$74</f>
        <v>566.91602301548414</v>
      </c>
      <c r="M47" s="147">
        <f>M26*'Data Entry'!$D$74</f>
        <v>593.91202411145969</v>
      </c>
      <c r="N47" s="147">
        <f>N26*'Data Entry'!$D$74</f>
        <v>620.90802520743512</v>
      </c>
      <c r="O47" s="147">
        <f>O26*'Data Entry'!$D$74</f>
        <v>647.90402630341043</v>
      </c>
      <c r="P47" s="147">
        <f>P26*'Data Entry'!$D$74</f>
        <v>674.90002739938598</v>
      </c>
      <c r="Q47" s="147">
        <f>Q26*'Data Entry'!$D$74</f>
        <v>701.89602849536141</v>
      </c>
      <c r="R47" s="147">
        <f>R26*'Data Entry'!$D$74</f>
        <v>728.89202959133684</v>
      </c>
      <c r="S47" s="147">
        <f>S26*'Data Entry'!$D$74</f>
        <v>755.88803068731227</v>
      </c>
      <c r="T47" s="147">
        <f>T26*'Data Entry'!$D$74</f>
        <v>782.88403178328781</v>
      </c>
      <c r="U47" s="147">
        <f>U26*'Data Entry'!$D$74</f>
        <v>809.88003287926301</v>
      </c>
      <c r="V47" s="147">
        <f>V26*'Data Entry'!$D$74</f>
        <v>836.87603397523856</v>
      </c>
      <c r="W47" s="147">
        <f>W26*'Data Entry'!$D$74</f>
        <v>863.87203507121387</v>
      </c>
      <c r="X47" s="147">
        <f>X26*'Data Entry'!$D$74</f>
        <v>890.86803616718942</v>
      </c>
      <c r="Y47" s="147">
        <f>Y26*'Data Entry'!$D$74</f>
        <v>917.86403726316485</v>
      </c>
      <c r="Z47" s="147">
        <f>Z26*'Data Entry'!$D$74</f>
        <v>944.86003835914039</v>
      </c>
      <c r="AA47" s="147">
        <f>AA26*'Data Entry'!$D$74</f>
        <v>971.85603945511571</v>
      </c>
      <c r="AB47" s="147">
        <f>AB26*'Data Entry'!$D$74</f>
        <v>998.85204055109125</v>
      </c>
      <c r="AC47" s="147">
        <f>AC26*'Data Entry'!$D$74</f>
        <v>1025.8480416470666</v>
      </c>
      <c r="AD47" s="147">
        <f>AD26*'Data Entry'!$D$74</f>
        <v>1052.8440427430421</v>
      </c>
      <c r="AE47" s="147">
        <f>AE26*'Data Entry'!$D$74</f>
        <v>1079.8400438390174</v>
      </c>
      <c r="AF47" s="147">
        <f>AF26*'Data Entry'!$D$74</f>
        <v>1106.836044934993</v>
      </c>
      <c r="AG47" s="147">
        <f>AG26*'Data Entry'!$D$74</f>
        <v>1133.8320460309683</v>
      </c>
      <c r="AH47" s="147">
        <f>AH26*'Data Entry'!$D$74</f>
        <v>1160.8280471269438</v>
      </c>
      <c r="AI47" s="147">
        <f>AI26*'Data Entry'!$D$74</f>
        <v>1187.8240482229194</v>
      </c>
      <c r="AJ47" s="147">
        <f>AJ26*'Data Entry'!$D$74</f>
        <v>1214.8200493188947</v>
      </c>
      <c r="AK47" s="147">
        <f>AK26*'Data Entry'!$D$74</f>
        <v>1241.8160504148702</v>
      </c>
      <c r="AL47" s="147">
        <f>AL26*'Data Entry'!$D$74</f>
        <v>1268.8120515108455</v>
      </c>
      <c r="AM47" s="147">
        <f>AM26*'Data Entry'!$D$74</f>
        <v>1295.8080526068209</v>
      </c>
      <c r="AN47" s="147">
        <f>AN26*'Data Entry'!$D$74</f>
        <v>1322.8040537027964</v>
      </c>
      <c r="AO47" s="147">
        <f>AO26*'Data Entry'!$D$74</f>
        <v>1349.800054798772</v>
      </c>
      <c r="AP47" s="147">
        <f>AP26*'Data Entry'!$D$74</f>
        <v>1376.7960558947475</v>
      </c>
      <c r="AQ47" s="147">
        <f>AQ26*'Data Entry'!$D$74</f>
        <v>1403.7920569907228</v>
      </c>
      <c r="AR47" s="147">
        <f>AR26*'Data Entry'!$D$74</f>
        <v>1430.7880580866981</v>
      </c>
      <c r="AS47" s="147">
        <f>AS26*'Data Entry'!$D$74</f>
        <v>1457.7840591826737</v>
      </c>
      <c r="AT47" s="147">
        <f>AT26*'Data Entry'!$D$74</f>
        <v>1484.780060278649</v>
      </c>
      <c r="AU47" s="147">
        <f>AU26*'Data Entry'!$D$74</f>
        <v>1511.7760613746245</v>
      </c>
      <c r="AV47" s="147">
        <f>AV26*'Data Entry'!$D$74</f>
        <v>1538.7720624706001</v>
      </c>
      <c r="AW47" s="147">
        <f>AW26*'Data Entry'!$D$74</f>
        <v>1565.7680635665756</v>
      </c>
      <c r="AX47" s="147">
        <f>AX26*'Data Entry'!$D$74</f>
        <v>1579.2660641145631</v>
      </c>
      <c r="AY47" s="147">
        <f>AY26*'Data Entry'!$D$74</f>
        <v>1592.7640646625507</v>
      </c>
      <c r="AZ47" s="147">
        <f>AZ26*'Data Entry'!$D$74</f>
        <v>1606.2620652105386</v>
      </c>
      <c r="BA47" s="147">
        <f>BA26*'Data Entry'!$D$74</f>
        <v>1619.760065758526</v>
      </c>
      <c r="BB47" s="147">
        <f>BB26*'Data Entry'!$D$74</f>
        <v>1633.2580663065137</v>
      </c>
      <c r="BC47" s="147">
        <f>BC26*'Data Entry'!$D$74</f>
        <v>1646.7560668545018</v>
      </c>
      <c r="BD47" s="147">
        <f>BD26*'Data Entry'!$D$74</f>
        <v>1660.2540674024897</v>
      </c>
      <c r="BE47" s="147">
        <f>BE26*'Data Entry'!$D$74</f>
        <v>1673.7520679504771</v>
      </c>
      <c r="BF47" s="147">
        <f>BF26*'Data Entry'!$D$74</f>
        <v>1687.2500684984648</v>
      </c>
      <c r="BG47" s="147">
        <f>BG26*'Data Entry'!$D$74</f>
        <v>1700.7480690464527</v>
      </c>
      <c r="BH47" s="147">
        <f>BH26*'Data Entry'!$D$74</f>
        <v>1714.2460695944403</v>
      </c>
      <c r="BI47" s="147">
        <f>BI26*'Data Entry'!$D$74</f>
        <v>1727.7440701424277</v>
      </c>
      <c r="BJ47" s="147"/>
      <c r="BK47" s="147">
        <f t="shared" si="231"/>
        <v>5345.2082170031363</v>
      </c>
      <c r="BL47" s="147">
        <f t="shared" si="232"/>
        <v>9232.6323748236009</v>
      </c>
      <c r="BM47" s="147">
        <f t="shared" si="233"/>
        <v>13120.056532644063</v>
      </c>
      <c r="BN47" s="147">
        <f t="shared" si="234"/>
        <v>17007.480690464527</v>
      </c>
      <c r="BO47" s="147">
        <f t="shared" si="235"/>
        <v>19842.060805541943</v>
      </c>
      <c r="BP47" s="147"/>
      <c r="BQ47" s="393">
        <f t="shared" si="186"/>
        <v>1.3854760634321497E-2</v>
      </c>
      <c r="BR47" s="393">
        <f t="shared" si="187"/>
        <v>1.3854760634321499E-2</v>
      </c>
      <c r="BS47" s="393">
        <f t="shared" si="188"/>
        <v>1.3854760634321497E-2</v>
      </c>
      <c r="BT47" s="393">
        <f t="shared" si="189"/>
        <v>1.3854760634321499E-2</v>
      </c>
      <c r="BU47" s="393">
        <f t="shared" si="190"/>
        <v>1.3854760634321495E-2</v>
      </c>
      <c r="BV47" s="138"/>
    </row>
    <row r="48" spans="1:77">
      <c r="A48" s="260" t="s">
        <v>52</v>
      </c>
      <c r="B48" s="147">
        <f>B26*'Data Entry'!$D$75</f>
        <v>441.9162</v>
      </c>
      <c r="C48" s="147">
        <f>C26*'Data Entry'!$D$75</f>
        <v>482.09039999999993</v>
      </c>
      <c r="D48" s="147">
        <f>D26*'Data Entry'!$D$75</f>
        <v>522.26460000000009</v>
      </c>
      <c r="E48" s="147">
        <f>E26*'Data Entry'!$D$75</f>
        <v>562.43880000000001</v>
      </c>
      <c r="F48" s="147">
        <f>F26*'Data Entry'!$D$75</f>
        <v>602.61299999999994</v>
      </c>
      <c r="G48" s="147">
        <f>G26*'Data Entry'!$D$75</f>
        <v>642.78719999999998</v>
      </c>
      <c r="H48" s="147">
        <f>H26*'Data Entry'!$D$75</f>
        <v>682.96140000000003</v>
      </c>
      <c r="I48" s="147">
        <f>I26*'Data Entry'!$D$75</f>
        <v>723.13559999999995</v>
      </c>
      <c r="J48" s="147">
        <f>J26*'Data Entry'!$D$75</f>
        <v>763.3098</v>
      </c>
      <c r="K48" s="147">
        <f>K26*'Data Entry'!$D$75</f>
        <v>803.48399999999992</v>
      </c>
      <c r="L48" s="147">
        <f>L26*'Data Entry'!$D$75</f>
        <v>843.65819999999997</v>
      </c>
      <c r="M48" s="147">
        <f>M26*'Data Entry'!$D$75</f>
        <v>883.83240000000001</v>
      </c>
      <c r="N48" s="147">
        <f>N26*'Data Entry'!$D$75</f>
        <v>924.00660000000016</v>
      </c>
      <c r="O48" s="147">
        <f>O26*'Data Entry'!$D$75</f>
        <v>964.18079999999986</v>
      </c>
      <c r="P48" s="147">
        <f>P26*'Data Entry'!$D$75</f>
        <v>1004.355</v>
      </c>
      <c r="Q48" s="147">
        <f>Q26*'Data Entry'!$D$75</f>
        <v>1044.5292000000002</v>
      </c>
      <c r="R48" s="147">
        <f>R26*'Data Entry'!$D$75</f>
        <v>1084.7034000000001</v>
      </c>
      <c r="S48" s="147">
        <f>S26*'Data Entry'!$D$75</f>
        <v>1124.8776</v>
      </c>
      <c r="T48" s="147">
        <f>T26*'Data Entry'!$D$75</f>
        <v>1165.0518000000002</v>
      </c>
      <c r="U48" s="147">
        <f>U26*'Data Entry'!$D$75</f>
        <v>1205.2259999999999</v>
      </c>
      <c r="V48" s="147">
        <f>V26*'Data Entry'!$D$75</f>
        <v>1245.4002</v>
      </c>
      <c r="W48" s="147">
        <f>W26*'Data Entry'!$D$75</f>
        <v>1285.5744</v>
      </c>
      <c r="X48" s="147">
        <f>X26*'Data Entry'!$D$75</f>
        <v>1325.7486000000001</v>
      </c>
      <c r="Y48" s="147">
        <f>Y26*'Data Entry'!$D$75</f>
        <v>1365.9228000000001</v>
      </c>
      <c r="Z48" s="147">
        <f>Z26*'Data Entry'!$D$75</f>
        <v>1406.097</v>
      </c>
      <c r="AA48" s="147">
        <f>AA26*'Data Entry'!$D$75</f>
        <v>1446.2711999999999</v>
      </c>
      <c r="AB48" s="147">
        <f>AB26*'Data Entry'!$D$75</f>
        <v>1486.4454000000001</v>
      </c>
      <c r="AC48" s="147">
        <f>AC26*'Data Entry'!$D$75</f>
        <v>1526.6196</v>
      </c>
      <c r="AD48" s="147">
        <f>AD26*'Data Entry'!$D$75</f>
        <v>1566.7937999999999</v>
      </c>
      <c r="AE48" s="147">
        <f>AE26*'Data Entry'!$D$75</f>
        <v>1606.9679999999998</v>
      </c>
      <c r="AF48" s="147">
        <f>AF26*'Data Entry'!$D$75</f>
        <v>1647.1422</v>
      </c>
      <c r="AG48" s="147">
        <f>AG26*'Data Entry'!$D$75</f>
        <v>1687.3163999999999</v>
      </c>
      <c r="AH48" s="147">
        <f>AH26*'Data Entry'!$D$75</f>
        <v>1727.4906000000001</v>
      </c>
      <c r="AI48" s="147">
        <f>AI26*'Data Entry'!$D$75</f>
        <v>1767.6648</v>
      </c>
      <c r="AJ48" s="147">
        <f>AJ26*'Data Entry'!$D$75</f>
        <v>1807.8390000000002</v>
      </c>
      <c r="AK48" s="147">
        <f>AK26*'Data Entry'!$D$75</f>
        <v>1848.0132000000003</v>
      </c>
      <c r="AL48" s="147">
        <f>AL26*'Data Entry'!$D$75</f>
        <v>1888.1874</v>
      </c>
      <c r="AM48" s="147">
        <f>AM26*'Data Entry'!$D$75</f>
        <v>1928.3615999999997</v>
      </c>
      <c r="AN48" s="147">
        <f>AN26*'Data Entry'!$D$75</f>
        <v>1968.5357999999999</v>
      </c>
      <c r="AO48" s="147">
        <f>AO26*'Data Entry'!$D$75</f>
        <v>2008.71</v>
      </c>
      <c r="AP48" s="147">
        <f>AP26*'Data Entry'!$D$75</f>
        <v>2048.8842</v>
      </c>
      <c r="AQ48" s="147">
        <f>AQ26*'Data Entry'!$D$75</f>
        <v>2089.0584000000003</v>
      </c>
      <c r="AR48" s="147">
        <f>AR26*'Data Entry'!$D$75</f>
        <v>2129.2325999999998</v>
      </c>
      <c r="AS48" s="147">
        <f>AS26*'Data Entry'!$D$75</f>
        <v>2169.4068000000002</v>
      </c>
      <c r="AT48" s="147">
        <f>AT26*'Data Entry'!$D$75</f>
        <v>2209.5809999999997</v>
      </c>
      <c r="AU48" s="147">
        <f>AU26*'Data Entry'!$D$75</f>
        <v>2249.7552000000001</v>
      </c>
      <c r="AV48" s="147">
        <f>AV26*'Data Entry'!$D$75</f>
        <v>2289.9294</v>
      </c>
      <c r="AW48" s="147">
        <f>AW26*'Data Entry'!$D$75</f>
        <v>2330.1036000000004</v>
      </c>
      <c r="AX48" s="147">
        <f>AX26*'Data Entry'!$D$75</f>
        <v>2350.1907000000001</v>
      </c>
      <c r="AY48" s="147">
        <f>AY26*'Data Entry'!$D$75</f>
        <v>2370.2777999999998</v>
      </c>
      <c r="AZ48" s="147">
        <f>AZ26*'Data Entry'!$D$75</f>
        <v>2390.3649</v>
      </c>
      <c r="BA48" s="147">
        <f>BA26*'Data Entry'!$D$75</f>
        <v>2410.4519999999998</v>
      </c>
      <c r="BB48" s="147">
        <f>BB26*'Data Entry'!$D$75</f>
        <v>2430.5391</v>
      </c>
      <c r="BC48" s="147">
        <f>BC26*'Data Entry'!$D$75</f>
        <v>2450.6262000000002</v>
      </c>
      <c r="BD48" s="147">
        <f>BD26*'Data Entry'!$D$75</f>
        <v>2470.7133000000003</v>
      </c>
      <c r="BE48" s="147">
        <f>BE26*'Data Entry'!$D$75</f>
        <v>2490.8004000000001</v>
      </c>
      <c r="BF48" s="147">
        <f>BF26*'Data Entry'!$D$75</f>
        <v>2510.8874999999998</v>
      </c>
      <c r="BG48" s="147">
        <f>BG26*'Data Entry'!$D$75</f>
        <v>2530.9746</v>
      </c>
      <c r="BH48" s="147">
        <f>BH26*'Data Entry'!$D$75</f>
        <v>2551.0617000000002</v>
      </c>
      <c r="BI48" s="147">
        <f>BI26*'Data Entry'!$D$75</f>
        <v>2571.1487999999999</v>
      </c>
      <c r="BJ48" s="147"/>
      <c r="BK48" s="147">
        <f t="shared" si="231"/>
        <v>7954.4916000000003</v>
      </c>
      <c r="BL48" s="147">
        <f t="shared" si="232"/>
        <v>13739.576400000002</v>
      </c>
      <c r="BM48" s="147">
        <f t="shared" si="233"/>
        <v>19524.661200000002</v>
      </c>
      <c r="BN48" s="147">
        <f t="shared" si="234"/>
        <v>25309.745999999999</v>
      </c>
      <c r="BO48" s="147">
        <f t="shared" si="235"/>
        <v>29528.037</v>
      </c>
      <c r="BP48" s="147"/>
      <c r="BQ48" s="393">
        <f t="shared" si="186"/>
        <v>2.0618013856812934E-2</v>
      </c>
      <c r="BR48" s="393">
        <f t="shared" si="187"/>
        <v>2.0618013856812934E-2</v>
      </c>
      <c r="BS48" s="393">
        <f t="shared" si="188"/>
        <v>2.0618013856812934E-2</v>
      </c>
      <c r="BT48" s="393">
        <f t="shared" si="189"/>
        <v>2.0618013856812931E-2</v>
      </c>
      <c r="BU48" s="393">
        <f t="shared" si="190"/>
        <v>2.0618013856812934E-2</v>
      </c>
      <c r="BV48" s="137"/>
      <c r="BW48" s="139"/>
    </row>
    <row r="49" spans="1:79">
      <c r="A49" s="260" t="s">
        <v>53</v>
      </c>
      <c r="B49" s="147">
        <f>B26*'Data Entry'!$D$76</f>
        <v>1158.8711538461537</v>
      </c>
      <c r="C49" s="147">
        <f>C26*'Data Entry'!$D$76</f>
        <v>1264.2230769230766</v>
      </c>
      <c r="D49" s="147">
        <f>D26*'Data Entry'!$D$76</f>
        <v>1369.575</v>
      </c>
      <c r="E49" s="147">
        <f>E26*'Data Entry'!$D$76</f>
        <v>1474.926923076923</v>
      </c>
      <c r="F49" s="147">
        <f>F26*'Data Entry'!$D$76</f>
        <v>1580.2788461538457</v>
      </c>
      <c r="G49" s="147">
        <f>G26*'Data Entry'!$D$76</f>
        <v>1685.6307692307689</v>
      </c>
      <c r="H49" s="147">
        <f>H26*'Data Entry'!$D$76</f>
        <v>1790.9826923076921</v>
      </c>
      <c r="I49" s="147">
        <f>I26*'Data Entry'!$D$76</f>
        <v>1896.3346153846153</v>
      </c>
      <c r="J49" s="147">
        <f>J26*'Data Entry'!$D$76</f>
        <v>2001.6865384615385</v>
      </c>
      <c r="K49" s="147">
        <f>K26*'Data Entry'!$D$76</f>
        <v>2107.0384615384614</v>
      </c>
      <c r="L49" s="147">
        <f>L26*'Data Entry'!$D$76</f>
        <v>2212.3903846153844</v>
      </c>
      <c r="M49" s="147">
        <f>M26*'Data Entry'!$D$76</f>
        <v>2317.7423076923073</v>
      </c>
      <c r="N49" s="147">
        <f>N26*'Data Entry'!$D$76</f>
        <v>2423.0942307692308</v>
      </c>
      <c r="O49" s="147">
        <f>O26*'Data Entry'!$D$76</f>
        <v>2528.4461538461533</v>
      </c>
      <c r="P49" s="147">
        <f>P26*'Data Entry'!$D$76</f>
        <v>2633.7980769230767</v>
      </c>
      <c r="Q49" s="147">
        <f>Q26*'Data Entry'!$D$76</f>
        <v>2739.15</v>
      </c>
      <c r="R49" s="147">
        <f>R26*'Data Entry'!$D$76</f>
        <v>2844.501923076923</v>
      </c>
      <c r="S49" s="147">
        <f>S26*'Data Entry'!$D$76</f>
        <v>2949.853846153846</v>
      </c>
      <c r="T49" s="147">
        <f>T26*'Data Entry'!$D$76</f>
        <v>3055.2057692307694</v>
      </c>
      <c r="U49" s="147">
        <f>U26*'Data Entry'!$D$76</f>
        <v>3160.5576923076915</v>
      </c>
      <c r="V49" s="147">
        <f>V26*'Data Entry'!$D$76</f>
        <v>3265.9096153846149</v>
      </c>
      <c r="W49" s="147">
        <f>W26*'Data Entry'!$D$76</f>
        <v>3371.2615384615378</v>
      </c>
      <c r="X49" s="147">
        <f>X26*'Data Entry'!$D$76</f>
        <v>3476.6134615384613</v>
      </c>
      <c r="Y49" s="147">
        <f>Y26*'Data Entry'!$D$76</f>
        <v>3581.9653846153842</v>
      </c>
      <c r="Z49" s="147">
        <f>Z26*'Data Entry'!$D$76</f>
        <v>3687.3173076923076</v>
      </c>
      <c r="AA49" s="147">
        <f>AA26*'Data Entry'!$D$76</f>
        <v>3792.6692307692306</v>
      </c>
      <c r="AB49" s="147">
        <f>AB26*'Data Entry'!$D$76</f>
        <v>3898.021153846154</v>
      </c>
      <c r="AC49" s="147">
        <f>AC26*'Data Entry'!$D$76</f>
        <v>4003.373076923077</v>
      </c>
      <c r="AD49" s="147">
        <f>AD26*'Data Entry'!$D$76</f>
        <v>4108.7249999999995</v>
      </c>
      <c r="AE49" s="147">
        <f>AE26*'Data Entry'!$D$76</f>
        <v>4214.0769230769229</v>
      </c>
      <c r="AF49" s="147">
        <f>AF26*'Data Entry'!$D$76</f>
        <v>4319.4288461538463</v>
      </c>
      <c r="AG49" s="147">
        <f>AG26*'Data Entry'!$D$76</f>
        <v>4424.7807692307688</v>
      </c>
      <c r="AH49" s="147">
        <f>AH26*'Data Entry'!$D$76</f>
        <v>4530.1326923076922</v>
      </c>
      <c r="AI49" s="147">
        <f>AI26*'Data Entry'!$D$76</f>
        <v>4635.4846153846147</v>
      </c>
      <c r="AJ49" s="147">
        <f>AJ26*'Data Entry'!$D$76</f>
        <v>4740.8365384615381</v>
      </c>
      <c r="AK49" s="147">
        <f>AK26*'Data Entry'!$D$76</f>
        <v>4846.1884615384615</v>
      </c>
      <c r="AL49" s="147">
        <f>AL26*'Data Entry'!$D$76</f>
        <v>4951.540384615384</v>
      </c>
      <c r="AM49" s="147">
        <f>AM26*'Data Entry'!$D$76</f>
        <v>5056.8923076923065</v>
      </c>
      <c r="AN49" s="147">
        <f>AN26*'Data Entry'!$D$76</f>
        <v>5162.2442307692299</v>
      </c>
      <c r="AO49" s="147">
        <f>AO26*'Data Entry'!$D$76</f>
        <v>5267.5961538461534</v>
      </c>
      <c r="AP49" s="147">
        <f>AP26*'Data Entry'!$D$76</f>
        <v>5372.9480769230768</v>
      </c>
      <c r="AQ49" s="147">
        <f>AQ26*'Data Entry'!$D$76</f>
        <v>5478.3</v>
      </c>
      <c r="AR49" s="147">
        <f>AR26*'Data Entry'!$D$76</f>
        <v>5583.6519230769227</v>
      </c>
      <c r="AS49" s="147">
        <f>AS26*'Data Entry'!$D$76</f>
        <v>5689.0038461538461</v>
      </c>
      <c r="AT49" s="147">
        <f>AT26*'Data Entry'!$D$76</f>
        <v>5794.3557692307686</v>
      </c>
      <c r="AU49" s="147">
        <f>AU26*'Data Entry'!$D$76</f>
        <v>5899.707692307692</v>
      </c>
      <c r="AV49" s="147">
        <f>AV26*'Data Entry'!$D$76</f>
        <v>6005.0596153846154</v>
      </c>
      <c r="AW49" s="147">
        <f>AW26*'Data Entry'!$D$76</f>
        <v>6110.4115384615388</v>
      </c>
      <c r="AX49" s="147">
        <f>AX26*'Data Entry'!$D$76</f>
        <v>6163.0874999999987</v>
      </c>
      <c r="AY49" s="147">
        <f>AY26*'Data Entry'!$D$76</f>
        <v>6215.7634615384604</v>
      </c>
      <c r="AZ49" s="147">
        <f>AZ26*'Data Entry'!$D$76</f>
        <v>6268.4394230769221</v>
      </c>
      <c r="BA49" s="147">
        <f>BA26*'Data Entry'!$D$76</f>
        <v>6321.1153846153829</v>
      </c>
      <c r="BB49" s="147">
        <f>BB26*'Data Entry'!$D$76</f>
        <v>6373.7913461538446</v>
      </c>
      <c r="BC49" s="147">
        <f>BC26*'Data Entry'!$D$76</f>
        <v>6426.4673076923073</v>
      </c>
      <c r="BD49" s="147">
        <f>BD26*'Data Entry'!$D$76</f>
        <v>6479.143269230769</v>
      </c>
      <c r="BE49" s="147">
        <f>BE26*'Data Entry'!$D$76</f>
        <v>6531.8192307692298</v>
      </c>
      <c r="BF49" s="147">
        <f>BF26*'Data Entry'!$D$76</f>
        <v>6584.4951923076915</v>
      </c>
      <c r="BG49" s="147">
        <f>BG26*'Data Entry'!$D$76</f>
        <v>6637.1711538461532</v>
      </c>
      <c r="BH49" s="147">
        <f>BH26*'Data Entry'!$D$76</f>
        <v>6689.8471153846149</v>
      </c>
      <c r="BI49" s="147">
        <f>BI26*'Data Entry'!$D$76</f>
        <v>6742.5230769230757</v>
      </c>
      <c r="BJ49" s="147"/>
      <c r="BK49" s="147">
        <f t="shared" si="231"/>
        <v>20859.680769230767</v>
      </c>
      <c r="BL49" s="147">
        <f t="shared" si="232"/>
        <v>36030.357692307691</v>
      </c>
      <c r="BM49" s="147">
        <f t="shared" si="233"/>
        <v>51201.034615384611</v>
      </c>
      <c r="BN49" s="147">
        <f t="shared" si="234"/>
        <v>66371.711538461517</v>
      </c>
      <c r="BO49" s="147">
        <f t="shared" si="235"/>
        <v>77433.663461538454</v>
      </c>
      <c r="BP49" s="147"/>
      <c r="BQ49" s="393">
        <f t="shared" si="186"/>
        <v>5.4068218155977961E-2</v>
      </c>
      <c r="BR49" s="393">
        <f t="shared" si="187"/>
        <v>5.4068218155977968E-2</v>
      </c>
      <c r="BS49" s="393">
        <f t="shared" si="188"/>
        <v>5.4068218155977968E-2</v>
      </c>
      <c r="BT49" s="393">
        <f t="shared" si="189"/>
        <v>5.4068218155977954E-2</v>
      </c>
      <c r="BU49" s="393">
        <f t="shared" si="190"/>
        <v>5.4068218155977968E-2</v>
      </c>
      <c r="BV49" s="140"/>
    </row>
    <row r="50" spans="1:79">
      <c r="A50" s="260" t="s">
        <v>292</v>
      </c>
      <c r="B50" s="147">
        <f>B26*'Data Entry'!$D$78</f>
        <v>77.335335000000001</v>
      </c>
      <c r="C50" s="147">
        <f>C26*'Data Entry'!$D$78</f>
        <v>84.365819999999985</v>
      </c>
      <c r="D50" s="147">
        <f>D26*'Data Entry'!$D$78</f>
        <v>91.396305000000012</v>
      </c>
      <c r="E50" s="147">
        <f>E26*'Data Entry'!$D$78</f>
        <v>98.426789999999997</v>
      </c>
      <c r="F50" s="147">
        <f>F26*'Data Entry'!$D$78</f>
        <v>105.45727499999998</v>
      </c>
      <c r="G50" s="147">
        <f>G26*'Data Entry'!$D$78</f>
        <v>112.48775999999999</v>
      </c>
      <c r="H50" s="147">
        <f>H26*'Data Entry'!$D$78</f>
        <v>119.51824499999999</v>
      </c>
      <c r="I50" s="147">
        <f>I26*'Data Entry'!$D$78</f>
        <v>126.54873000000001</v>
      </c>
      <c r="J50" s="147">
        <f>J26*'Data Entry'!$D$78</f>
        <v>133.579215</v>
      </c>
      <c r="K50" s="147">
        <f>K26*'Data Entry'!$D$78</f>
        <v>140.6097</v>
      </c>
      <c r="L50" s="147">
        <f>L26*'Data Entry'!$D$78</f>
        <v>147.640185</v>
      </c>
      <c r="M50" s="147">
        <f>M26*'Data Entry'!$D$78</f>
        <v>154.67067</v>
      </c>
      <c r="N50" s="147">
        <f>N26*'Data Entry'!$D$78</f>
        <v>161.70115500000003</v>
      </c>
      <c r="O50" s="147">
        <f>O26*'Data Entry'!$D$78</f>
        <v>168.73163999999997</v>
      </c>
      <c r="P50" s="147">
        <f>P26*'Data Entry'!$D$78</f>
        <v>175.762125</v>
      </c>
      <c r="Q50" s="147">
        <f>Q26*'Data Entry'!$D$78</f>
        <v>182.79261000000002</v>
      </c>
      <c r="R50" s="147">
        <f>R26*'Data Entry'!$D$78</f>
        <v>189.823095</v>
      </c>
      <c r="S50" s="147">
        <f>S26*'Data Entry'!$D$78</f>
        <v>196.85357999999999</v>
      </c>
      <c r="T50" s="147">
        <f>T26*'Data Entry'!$D$78</f>
        <v>203.88406500000002</v>
      </c>
      <c r="U50" s="147">
        <f>U26*'Data Entry'!$D$78</f>
        <v>210.91454999999996</v>
      </c>
      <c r="V50" s="147">
        <f>V26*'Data Entry'!$D$78</f>
        <v>217.94503499999999</v>
      </c>
      <c r="W50" s="147">
        <f>W26*'Data Entry'!$D$78</f>
        <v>224.97551999999999</v>
      </c>
      <c r="X50" s="147">
        <f>X26*'Data Entry'!$D$78</f>
        <v>232.00600499999999</v>
      </c>
      <c r="Y50" s="147">
        <f>Y26*'Data Entry'!$D$78</f>
        <v>239.03648999999999</v>
      </c>
      <c r="Z50" s="147">
        <f>Z26*'Data Entry'!$D$78</f>
        <v>246.06697500000001</v>
      </c>
      <c r="AA50" s="147">
        <f>AA26*'Data Entry'!$D$78</f>
        <v>253.09746000000001</v>
      </c>
      <c r="AB50" s="147">
        <f>AB26*'Data Entry'!$D$78</f>
        <v>260.12794500000001</v>
      </c>
      <c r="AC50" s="147">
        <f>AC26*'Data Entry'!$D$78</f>
        <v>267.15843000000001</v>
      </c>
      <c r="AD50" s="147">
        <f>AD26*'Data Entry'!$D$78</f>
        <v>274.18891500000001</v>
      </c>
      <c r="AE50" s="147">
        <f>AE26*'Data Entry'!$D$78</f>
        <v>281.21940000000001</v>
      </c>
      <c r="AF50" s="147">
        <f>AF26*'Data Entry'!$D$78</f>
        <v>288.24988500000001</v>
      </c>
      <c r="AG50" s="147">
        <f>AG26*'Data Entry'!$D$78</f>
        <v>295.28037</v>
      </c>
      <c r="AH50" s="147">
        <f>AH26*'Data Entry'!$D$78</f>
        <v>302.310855</v>
      </c>
      <c r="AI50" s="147">
        <f>AI26*'Data Entry'!$D$78</f>
        <v>309.34134</v>
      </c>
      <c r="AJ50" s="147">
        <f>AJ26*'Data Entry'!$D$78</f>
        <v>316.371825</v>
      </c>
      <c r="AK50" s="147">
        <f>AK26*'Data Entry'!$D$78</f>
        <v>323.40231000000006</v>
      </c>
      <c r="AL50" s="147">
        <f>AL26*'Data Entry'!$D$78</f>
        <v>330.432795</v>
      </c>
      <c r="AM50" s="147">
        <f>AM26*'Data Entry'!$D$78</f>
        <v>337.46327999999994</v>
      </c>
      <c r="AN50" s="147">
        <f>AN26*'Data Entry'!$D$78</f>
        <v>344.493765</v>
      </c>
      <c r="AO50" s="147">
        <f>AO26*'Data Entry'!$D$78</f>
        <v>351.52424999999999</v>
      </c>
      <c r="AP50" s="147">
        <f>AP26*'Data Entry'!$D$78</f>
        <v>358.55473499999999</v>
      </c>
      <c r="AQ50" s="147">
        <f>AQ26*'Data Entry'!$D$78</f>
        <v>365.58522000000005</v>
      </c>
      <c r="AR50" s="147">
        <f>AR26*'Data Entry'!$D$78</f>
        <v>372.61570499999999</v>
      </c>
      <c r="AS50" s="147">
        <f>AS26*'Data Entry'!$D$78</f>
        <v>379.64618999999999</v>
      </c>
      <c r="AT50" s="147">
        <f>AT26*'Data Entry'!$D$78</f>
        <v>386.67667499999999</v>
      </c>
      <c r="AU50" s="147">
        <f>AU26*'Data Entry'!$D$78</f>
        <v>393.70715999999999</v>
      </c>
      <c r="AV50" s="147">
        <f>AV26*'Data Entry'!$D$78</f>
        <v>400.73764499999999</v>
      </c>
      <c r="AW50" s="147">
        <f>AW26*'Data Entry'!$D$78</f>
        <v>407.76813000000004</v>
      </c>
      <c r="AX50" s="147">
        <f>AX26*'Data Entry'!$D$78</f>
        <v>411.28337249999998</v>
      </c>
      <c r="AY50" s="147">
        <f>AY26*'Data Entry'!$D$78</f>
        <v>414.79861499999998</v>
      </c>
      <c r="AZ50" s="147">
        <f>AZ26*'Data Entry'!$D$78</f>
        <v>418.31385749999998</v>
      </c>
      <c r="BA50" s="147">
        <f>BA26*'Data Entry'!$D$78</f>
        <v>421.82909999999993</v>
      </c>
      <c r="BB50" s="147">
        <f>BB26*'Data Entry'!$D$78</f>
        <v>425.34434249999993</v>
      </c>
      <c r="BC50" s="147">
        <f>BC26*'Data Entry'!$D$78</f>
        <v>428.85958500000004</v>
      </c>
      <c r="BD50" s="147">
        <f>BD26*'Data Entry'!$D$78</f>
        <v>432.37482750000004</v>
      </c>
      <c r="BE50" s="147">
        <f>BE26*'Data Entry'!$D$78</f>
        <v>435.89006999999998</v>
      </c>
      <c r="BF50" s="147">
        <f>BF26*'Data Entry'!$D$78</f>
        <v>439.40531249999998</v>
      </c>
      <c r="BG50" s="147">
        <f>BG26*'Data Entry'!$D$78</f>
        <v>442.92055499999998</v>
      </c>
      <c r="BH50" s="147">
        <f>BH26*'Data Entry'!$D$78</f>
        <v>446.43579750000004</v>
      </c>
      <c r="BI50" s="147">
        <f>BI26*'Data Entry'!$D$78</f>
        <v>449.95103999999998</v>
      </c>
      <c r="BJ50" s="147"/>
      <c r="BK50" s="147">
        <f t="shared" si="231"/>
        <v>1392.03603</v>
      </c>
      <c r="BL50" s="147">
        <f t="shared" si="232"/>
        <v>2404.42587</v>
      </c>
      <c r="BM50" s="147">
        <f t="shared" si="233"/>
        <v>3416.8157100000003</v>
      </c>
      <c r="BN50" s="147">
        <f t="shared" si="234"/>
        <v>4429.2055500000006</v>
      </c>
      <c r="BO50" s="147">
        <f t="shared" si="235"/>
        <v>5167.4064750000007</v>
      </c>
      <c r="BP50" s="147"/>
      <c r="BQ50" s="393">
        <f t="shared" si="186"/>
        <v>3.6081524249422631E-3</v>
      </c>
      <c r="BR50" s="393">
        <f t="shared" si="187"/>
        <v>3.6081524249422631E-3</v>
      </c>
      <c r="BS50" s="393">
        <f t="shared" si="188"/>
        <v>3.6081524249422636E-3</v>
      </c>
      <c r="BT50" s="393">
        <f t="shared" si="189"/>
        <v>3.6081524249422636E-3</v>
      </c>
      <c r="BU50" s="393">
        <f t="shared" si="190"/>
        <v>3.6081524249422636E-3</v>
      </c>
      <c r="BV50" s="143">
        <v>7.3000000000000001E-3</v>
      </c>
      <c r="BW50" s="117" t="s">
        <v>301</v>
      </c>
    </row>
    <row r="51" spans="1:79">
      <c r="A51" s="260" t="s">
        <v>75</v>
      </c>
      <c r="B51" s="147">
        <f>B26*'Data Entry'!$D$79</f>
        <v>220.9581</v>
      </c>
      <c r="C51" s="147">
        <f>C26*'Data Entry'!$D$79</f>
        <v>241.04519999999997</v>
      </c>
      <c r="D51" s="147">
        <f>D26*'Data Entry'!$D$79</f>
        <v>261.13230000000004</v>
      </c>
      <c r="E51" s="147">
        <f>E26*'Data Entry'!$D$79</f>
        <v>281.21940000000001</v>
      </c>
      <c r="F51" s="147">
        <f>F26*'Data Entry'!$D$79</f>
        <v>301.30649999999997</v>
      </c>
      <c r="G51" s="147">
        <f>G26*'Data Entry'!$D$79</f>
        <v>321.39359999999999</v>
      </c>
      <c r="H51" s="147">
        <f>H26*'Data Entry'!$D$79</f>
        <v>341.48070000000001</v>
      </c>
      <c r="I51" s="147">
        <f>I26*'Data Entry'!$D$79</f>
        <v>361.56779999999998</v>
      </c>
      <c r="J51" s="147">
        <f>J26*'Data Entry'!$D$79</f>
        <v>381.6549</v>
      </c>
      <c r="K51" s="147">
        <f>K26*'Data Entry'!$D$79</f>
        <v>401.74199999999996</v>
      </c>
      <c r="L51" s="147">
        <f>L26*'Data Entry'!$D$79</f>
        <v>421.82909999999998</v>
      </c>
      <c r="M51" s="147">
        <f>M26*'Data Entry'!$D$79</f>
        <v>441.9162</v>
      </c>
      <c r="N51" s="147">
        <f>N26*'Data Entry'!$D$79</f>
        <v>462.00330000000008</v>
      </c>
      <c r="O51" s="147">
        <f>O26*'Data Entry'!$D$79</f>
        <v>482.09039999999993</v>
      </c>
      <c r="P51" s="147">
        <f>P26*'Data Entry'!$D$79</f>
        <v>502.17750000000001</v>
      </c>
      <c r="Q51" s="147">
        <f>Q26*'Data Entry'!$D$79</f>
        <v>522.26460000000009</v>
      </c>
      <c r="R51" s="147">
        <f>R26*'Data Entry'!$D$79</f>
        <v>542.35170000000005</v>
      </c>
      <c r="S51" s="147">
        <f>S26*'Data Entry'!$D$79</f>
        <v>562.43880000000001</v>
      </c>
      <c r="T51" s="147">
        <f>T26*'Data Entry'!$D$79</f>
        <v>582.52590000000009</v>
      </c>
      <c r="U51" s="147">
        <f>U26*'Data Entry'!$D$79</f>
        <v>602.61299999999994</v>
      </c>
      <c r="V51" s="147">
        <f>V26*'Data Entry'!$D$79</f>
        <v>622.70010000000002</v>
      </c>
      <c r="W51" s="147">
        <f>W26*'Data Entry'!$D$79</f>
        <v>642.78719999999998</v>
      </c>
      <c r="X51" s="147">
        <f>X26*'Data Entry'!$D$79</f>
        <v>662.87430000000006</v>
      </c>
      <c r="Y51" s="147">
        <f>Y26*'Data Entry'!$D$79</f>
        <v>682.96140000000003</v>
      </c>
      <c r="Z51" s="147">
        <f>Z26*'Data Entry'!$D$79</f>
        <v>703.04849999999999</v>
      </c>
      <c r="AA51" s="147">
        <f>AA26*'Data Entry'!$D$79</f>
        <v>723.13559999999995</v>
      </c>
      <c r="AB51" s="147">
        <f>AB26*'Data Entry'!$D$79</f>
        <v>743.22270000000003</v>
      </c>
      <c r="AC51" s="147">
        <f>AC26*'Data Entry'!$D$79</f>
        <v>763.3098</v>
      </c>
      <c r="AD51" s="147">
        <f>AD26*'Data Entry'!$D$79</f>
        <v>783.39689999999996</v>
      </c>
      <c r="AE51" s="147">
        <f>AE26*'Data Entry'!$D$79</f>
        <v>803.48399999999992</v>
      </c>
      <c r="AF51" s="147">
        <f>AF26*'Data Entry'!$D$79</f>
        <v>823.5711</v>
      </c>
      <c r="AG51" s="147">
        <f>AG26*'Data Entry'!$D$79</f>
        <v>843.65819999999997</v>
      </c>
      <c r="AH51" s="147">
        <f>AH26*'Data Entry'!$D$79</f>
        <v>863.74530000000004</v>
      </c>
      <c r="AI51" s="147">
        <f>AI26*'Data Entry'!$D$79</f>
        <v>883.83240000000001</v>
      </c>
      <c r="AJ51" s="147">
        <f>AJ26*'Data Entry'!$D$79</f>
        <v>903.91950000000008</v>
      </c>
      <c r="AK51" s="147">
        <f>AK26*'Data Entry'!$D$79</f>
        <v>924.00660000000016</v>
      </c>
      <c r="AL51" s="147">
        <f>AL26*'Data Entry'!$D$79</f>
        <v>944.09370000000001</v>
      </c>
      <c r="AM51" s="147">
        <f>AM26*'Data Entry'!$D$79</f>
        <v>964.18079999999986</v>
      </c>
      <c r="AN51" s="147">
        <f>AN26*'Data Entry'!$D$79</f>
        <v>984.26789999999994</v>
      </c>
      <c r="AO51" s="147">
        <f>AO26*'Data Entry'!$D$79</f>
        <v>1004.355</v>
      </c>
      <c r="AP51" s="147">
        <f>AP26*'Data Entry'!$D$79</f>
        <v>1024.4421</v>
      </c>
      <c r="AQ51" s="147">
        <f>AQ26*'Data Entry'!$D$79</f>
        <v>1044.5292000000002</v>
      </c>
      <c r="AR51" s="147">
        <f>AR26*'Data Entry'!$D$79</f>
        <v>1064.6162999999999</v>
      </c>
      <c r="AS51" s="147">
        <f>AS26*'Data Entry'!$D$79</f>
        <v>1084.7034000000001</v>
      </c>
      <c r="AT51" s="147">
        <f>AT26*'Data Entry'!$D$79</f>
        <v>1104.7904999999998</v>
      </c>
      <c r="AU51" s="147">
        <f>AU26*'Data Entry'!$D$79</f>
        <v>1124.8776</v>
      </c>
      <c r="AV51" s="147">
        <f>AV26*'Data Entry'!$D$79</f>
        <v>1144.9647</v>
      </c>
      <c r="AW51" s="147">
        <f>AW26*'Data Entry'!$D$79</f>
        <v>1165.0518000000002</v>
      </c>
      <c r="AX51" s="147">
        <f>AX26*'Data Entry'!$D$79</f>
        <v>1175.0953500000001</v>
      </c>
      <c r="AY51" s="147">
        <f>AY26*'Data Entry'!$D$79</f>
        <v>1185.1388999999999</v>
      </c>
      <c r="AZ51" s="147">
        <f>AZ26*'Data Entry'!$D$79</f>
        <v>1195.18245</v>
      </c>
      <c r="BA51" s="147">
        <f>BA26*'Data Entry'!$D$79</f>
        <v>1205.2259999999999</v>
      </c>
      <c r="BB51" s="147">
        <f>BB26*'Data Entry'!$D$79</f>
        <v>1215.26955</v>
      </c>
      <c r="BC51" s="147">
        <f>BC26*'Data Entry'!$D$79</f>
        <v>1225.3131000000001</v>
      </c>
      <c r="BD51" s="147">
        <f>BD26*'Data Entry'!$D$79</f>
        <v>1235.3566500000002</v>
      </c>
      <c r="BE51" s="147">
        <f>BE26*'Data Entry'!$D$79</f>
        <v>1245.4002</v>
      </c>
      <c r="BF51" s="147">
        <f>BF26*'Data Entry'!$D$79</f>
        <v>1255.4437499999999</v>
      </c>
      <c r="BG51" s="147">
        <f>BG26*'Data Entry'!$D$79</f>
        <v>1265.4873</v>
      </c>
      <c r="BH51" s="147">
        <f>BH26*'Data Entry'!$D$79</f>
        <v>1275.5308500000001</v>
      </c>
      <c r="BI51" s="147">
        <f>BI26*'Data Entry'!$D$79</f>
        <v>1285.5744</v>
      </c>
      <c r="BJ51" s="147"/>
      <c r="BK51" s="147">
        <f t="shared" si="231"/>
        <v>3977.2458000000001</v>
      </c>
      <c r="BL51" s="147">
        <f t="shared" si="232"/>
        <v>6869.7882000000009</v>
      </c>
      <c r="BM51" s="147">
        <f t="shared" si="233"/>
        <v>9762.3306000000011</v>
      </c>
      <c r="BN51" s="147">
        <f t="shared" si="234"/>
        <v>12654.873</v>
      </c>
      <c r="BO51" s="147">
        <f t="shared" si="235"/>
        <v>14764.0185</v>
      </c>
      <c r="BP51" s="147"/>
      <c r="BQ51" s="393">
        <f t="shared" si="186"/>
        <v>1.0309006928406467E-2</v>
      </c>
      <c r="BR51" s="393">
        <f t="shared" si="187"/>
        <v>1.0309006928406467E-2</v>
      </c>
      <c r="BS51" s="393">
        <f t="shared" si="188"/>
        <v>1.0309006928406467E-2</v>
      </c>
      <c r="BT51" s="393">
        <f t="shared" si="189"/>
        <v>1.0309006928406465E-2</v>
      </c>
      <c r="BU51" s="393">
        <f t="shared" si="190"/>
        <v>1.0309006928406467E-2</v>
      </c>
      <c r="BV51" s="140"/>
    </row>
    <row r="52" spans="1:79">
      <c r="A52" s="260" t="s">
        <v>54</v>
      </c>
      <c r="B52" s="147">
        <f>B26*'Data Entry'!$D$77</f>
        <v>424.91942307692312</v>
      </c>
      <c r="C52" s="147">
        <f>C26*'Data Entry'!$D$77</f>
        <v>463.54846153846154</v>
      </c>
      <c r="D52" s="147">
        <f>D26*'Data Entry'!$D$77</f>
        <v>502.17750000000012</v>
      </c>
      <c r="E52" s="147">
        <f>E26*'Data Entry'!$D$77</f>
        <v>540.80653846153848</v>
      </c>
      <c r="F52" s="147">
        <f>F26*'Data Entry'!$D$77</f>
        <v>579.43557692307695</v>
      </c>
      <c r="G52" s="147">
        <f>G26*'Data Entry'!$D$77</f>
        <v>618.06461538461542</v>
      </c>
      <c r="H52" s="147">
        <f>H26*'Data Entry'!$D$77</f>
        <v>656.69365384615389</v>
      </c>
      <c r="I52" s="147">
        <f>I26*'Data Entry'!$D$77</f>
        <v>695.32269230769236</v>
      </c>
      <c r="J52" s="147">
        <f>J26*'Data Entry'!$D$77</f>
        <v>733.95173076923083</v>
      </c>
      <c r="K52" s="147">
        <f>K26*'Data Entry'!$D$77</f>
        <v>772.58076923076931</v>
      </c>
      <c r="L52" s="147">
        <f>L26*'Data Entry'!$D$77</f>
        <v>811.20980769230778</v>
      </c>
      <c r="M52" s="147">
        <f>M26*'Data Entry'!$D$77</f>
        <v>849.83884615384625</v>
      </c>
      <c r="N52" s="147">
        <f>N26*'Data Entry'!$D$77</f>
        <v>888.46788461538483</v>
      </c>
      <c r="O52" s="147">
        <f>O26*'Data Entry'!$D$77</f>
        <v>927.09692307692308</v>
      </c>
      <c r="P52" s="147">
        <f>P26*'Data Entry'!$D$77</f>
        <v>965.72596153846166</v>
      </c>
      <c r="Q52" s="147">
        <f>Q26*'Data Entry'!$D$77</f>
        <v>1004.3550000000002</v>
      </c>
      <c r="R52" s="147">
        <f>R26*'Data Entry'!$D$77</f>
        <v>1042.9840384615386</v>
      </c>
      <c r="S52" s="147">
        <f>S26*'Data Entry'!$D$77</f>
        <v>1081.613076923077</v>
      </c>
      <c r="T52" s="147">
        <f>T26*'Data Entry'!$D$77</f>
        <v>1120.2421153846155</v>
      </c>
      <c r="U52" s="147">
        <f>U26*'Data Entry'!$D$77</f>
        <v>1158.8711538461539</v>
      </c>
      <c r="V52" s="147">
        <f>V26*'Data Entry'!$D$77</f>
        <v>1197.5001923076925</v>
      </c>
      <c r="W52" s="147">
        <f>W26*'Data Entry'!$D$77</f>
        <v>1236.1292307692308</v>
      </c>
      <c r="X52" s="147">
        <f>X26*'Data Entry'!$D$77</f>
        <v>1274.7582692307694</v>
      </c>
      <c r="Y52" s="147">
        <f>Y26*'Data Entry'!$D$77</f>
        <v>1313.3873076923078</v>
      </c>
      <c r="Z52" s="147">
        <f>Z26*'Data Entry'!$D$77</f>
        <v>1352.0163461538464</v>
      </c>
      <c r="AA52" s="147">
        <f>AA26*'Data Entry'!$D$77</f>
        <v>1390.6453846153847</v>
      </c>
      <c r="AB52" s="147">
        <f>AB26*'Data Entry'!$D$77</f>
        <v>1429.2744230769233</v>
      </c>
      <c r="AC52" s="147">
        <f>AC26*'Data Entry'!$D$77</f>
        <v>1467.9034615384617</v>
      </c>
      <c r="AD52" s="147">
        <f>AD26*'Data Entry'!$D$77</f>
        <v>1506.5325000000003</v>
      </c>
      <c r="AE52" s="147">
        <f>AE26*'Data Entry'!$D$77</f>
        <v>1545.1615384615386</v>
      </c>
      <c r="AF52" s="147">
        <f>AF26*'Data Entry'!$D$77</f>
        <v>1583.7905769230772</v>
      </c>
      <c r="AG52" s="147">
        <f>AG26*'Data Entry'!$D$77</f>
        <v>1622.4196153846156</v>
      </c>
      <c r="AH52" s="147">
        <f>AH26*'Data Entry'!$D$77</f>
        <v>1661.0486538461541</v>
      </c>
      <c r="AI52" s="147">
        <f>AI26*'Data Entry'!$D$77</f>
        <v>1699.6776923076925</v>
      </c>
      <c r="AJ52" s="147">
        <f>AJ26*'Data Entry'!$D$77</f>
        <v>1738.3067307692311</v>
      </c>
      <c r="AK52" s="147">
        <f>AK26*'Data Entry'!$D$77</f>
        <v>1776.9357692307697</v>
      </c>
      <c r="AL52" s="147">
        <f>AL26*'Data Entry'!$D$77</f>
        <v>1815.564807692308</v>
      </c>
      <c r="AM52" s="147">
        <f>AM26*'Data Entry'!$D$77</f>
        <v>1854.1938461538462</v>
      </c>
      <c r="AN52" s="147">
        <f>AN26*'Data Entry'!$D$77</f>
        <v>1892.8228846153847</v>
      </c>
      <c r="AO52" s="147">
        <f>AO26*'Data Entry'!$D$77</f>
        <v>1931.4519230769233</v>
      </c>
      <c r="AP52" s="147">
        <f>AP26*'Data Entry'!$D$77</f>
        <v>1970.0809615384619</v>
      </c>
      <c r="AQ52" s="147">
        <f>AQ26*'Data Entry'!$D$77</f>
        <v>2008.7100000000005</v>
      </c>
      <c r="AR52" s="147">
        <f>AR26*'Data Entry'!$D$77</f>
        <v>2047.3390384615386</v>
      </c>
      <c r="AS52" s="147">
        <f>AS26*'Data Entry'!$D$77</f>
        <v>2085.9680769230772</v>
      </c>
      <c r="AT52" s="147">
        <f>AT26*'Data Entry'!$D$77</f>
        <v>2124.5971153846153</v>
      </c>
      <c r="AU52" s="147">
        <f>AU26*'Data Entry'!$D$77</f>
        <v>2163.2261538461539</v>
      </c>
      <c r="AV52" s="147">
        <f>AV26*'Data Entry'!$D$77</f>
        <v>2201.8551923076925</v>
      </c>
      <c r="AW52" s="147">
        <f>AW26*'Data Entry'!$D$77</f>
        <v>2240.4842307692311</v>
      </c>
      <c r="AX52" s="147">
        <f>AX26*'Data Entry'!$D$77</f>
        <v>2259.7987500000004</v>
      </c>
      <c r="AY52" s="147">
        <f>AY26*'Data Entry'!$D$77</f>
        <v>2279.1132692307697</v>
      </c>
      <c r="AZ52" s="147">
        <f>AZ26*'Data Entry'!$D$77</f>
        <v>2298.427788461539</v>
      </c>
      <c r="BA52" s="147">
        <f>BA26*'Data Entry'!$D$77</f>
        <v>2317.7423076923078</v>
      </c>
      <c r="BB52" s="147">
        <f>BB26*'Data Entry'!$D$77</f>
        <v>2337.0568269230771</v>
      </c>
      <c r="BC52" s="147">
        <f>BC26*'Data Entry'!$D$77</f>
        <v>2356.3713461538468</v>
      </c>
      <c r="BD52" s="147">
        <f>BD26*'Data Entry'!$D$77</f>
        <v>2375.6858653846161</v>
      </c>
      <c r="BE52" s="147">
        <f>BE26*'Data Entry'!$D$77</f>
        <v>2395.000384615385</v>
      </c>
      <c r="BF52" s="147">
        <f>BF26*'Data Entry'!$D$77</f>
        <v>2414.3149038461543</v>
      </c>
      <c r="BG52" s="147">
        <f>BG26*'Data Entry'!$D$77</f>
        <v>2433.6294230769236</v>
      </c>
      <c r="BH52" s="147">
        <f>BH26*'Data Entry'!$D$77</f>
        <v>2452.9439423076929</v>
      </c>
      <c r="BI52" s="147">
        <f>BI26*'Data Entry'!$D$77</f>
        <v>2472.2584615384617</v>
      </c>
      <c r="BJ52" s="147"/>
      <c r="BK52" s="147">
        <f t="shared" si="231"/>
        <v>7648.5496153846152</v>
      </c>
      <c r="BL52" s="147">
        <f t="shared" si="232"/>
        <v>13211.131153846156</v>
      </c>
      <c r="BM52" s="147">
        <f t="shared" si="233"/>
        <v>18773.712692307694</v>
      </c>
      <c r="BN52" s="147">
        <f t="shared" si="234"/>
        <v>24336.294230769232</v>
      </c>
      <c r="BO52" s="147">
        <f t="shared" si="235"/>
        <v>28392.343269230776</v>
      </c>
      <c r="BP52" s="147"/>
      <c r="BQ52" s="393">
        <f t="shared" si="186"/>
        <v>1.9825013323858588E-2</v>
      </c>
      <c r="BR52" s="393">
        <f t="shared" si="187"/>
        <v>1.9825013323858592E-2</v>
      </c>
      <c r="BS52" s="393">
        <f t="shared" si="188"/>
        <v>1.9825013323858592E-2</v>
      </c>
      <c r="BT52" s="393">
        <f t="shared" si="189"/>
        <v>1.9825013323858592E-2</v>
      </c>
      <c r="BU52" s="393">
        <f t="shared" si="190"/>
        <v>1.9825013323858595E-2</v>
      </c>
      <c r="BV52" s="137"/>
    </row>
    <row r="53" spans="1:79">
      <c r="A53" s="129" t="s">
        <v>303</v>
      </c>
      <c r="B53" s="257">
        <f>SUM(B46:B52)</f>
        <v>3466.1209564788069</v>
      </c>
      <c r="C53" s="257">
        <f t="shared" ref="C53:M53" si="236">SUM(C46:C52)</f>
        <v>3781.2228616132434</v>
      </c>
      <c r="D53" s="257">
        <f t="shared" si="236"/>
        <v>4096.3247667476808</v>
      </c>
      <c r="E53" s="257">
        <f t="shared" si="236"/>
        <v>4411.4266718821182</v>
      </c>
      <c r="F53" s="257">
        <f t="shared" si="236"/>
        <v>4726.5285770165538</v>
      </c>
      <c r="G53" s="257">
        <f t="shared" si="236"/>
        <v>5041.6304821509921</v>
      </c>
      <c r="H53" s="257">
        <f t="shared" si="236"/>
        <v>5356.7323872854295</v>
      </c>
      <c r="I53" s="257">
        <f t="shared" si="236"/>
        <v>5671.834292419866</v>
      </c>
      <c r="J53" s="257">
        <f t="shared" si="236"/>
        <v>5986.9361975543034</v>
      </c>
      <c r="K53" s="257">
        <f t="shared" si="236"/>
        <v>6302.0381026887389</v>
      </c>
      <c r="L53" s="257">
        <f t="shared" si="236"/>
        <v>6617.1400078231763</v>
      </c>
      <c r="M53" s="257">
        <f t="shared" si="236"/>
        <v>6932.2419129576137</v>
      </c>
      <c r="N53" s="257">
        <f t="shared" ref="N53" si="237">SUM(N46:N52)</f>
        <v>7247.3438180920512</v>
      </c>
      <c r="O53" s="257">
        <f t="shared" ref="O53" si="238">SUM(O46:O52)</f>
        <v>7562.4457232264867</v>
      </c>
      <c r="P53" s="257">
        <f t="shared" ref="P53" si="239">SUM(P46:P52)</f>
        <v>7877.5476283609241</v>
      </c>
      <c r="Q53" s="257">
        <f t="shared" ref="Q53" si="240">SUM(Q46:Q52)</f>
        <v>8192.6495334953615</v>
      </c>
      <c r="R53" s="257">
        <f t="shared" ref="R53" si="241">SUM(R46:R52)</f>
        <v>8507.7514386297989</v>
      </c>
      <c r="S53" s="257">
        <f t="shared" ref="S53" si="242">SUM(S46:S52)</f>
        <v>8822.8533437642363</v>
      </c>
      <c r="T53" s="257">
        <f t="shared" ref="T53" si="243">SUM(T46:T52)</f>
        <v>9137.9552488986737</v>
      </c>
      <c r="U53" s="257">
        <f t="shared" ref="U53" si="244">SUM(U46:U52)</f>
        <v>9453.0571540331075</v>
      </c>
      <c r="V53" s="257">
        <f t="shared" ref="V53" si="245">SUM(V46:V52)</f>
        <v>9768.1590591675449</v>
      </c>
      <c r="W53" s="257">
        <f t="shared" ref="W53" si="246">SUM(W46:W52)</f>
        <v>10083.260964301984</v>
      </c>
      <c r="X53" s="257">
        <f t="shared" ref="X53" si="247">SUM(X46:X52)</f>
        <v>10398.36286943642</v>
      </c>
      <c r="Y53" s="257">
        <f t="shared" ref="Y53" si="248">SUM(Y46:Y52)</f>
        <v>10713.464774570859</v>
      </c>
      <c r="Z53" s="257">
        <f t="shared" ref="Z53" si="249">SUM(Z46:Z52)</f>
        <v>11028.566679705296</v>
      </c>
      <c r="AA53" s="257">
        <f t="shared" ref="AA53" si="250">SUM(AA46:AA52)</f>
        <v>11343.668584839732</v>
      </c>
      <c r="AB53" s="257">
        <f t="shared" ref="AB53" si="251">SUM(AB46:AB52)</f>
        <v>11658.770489974169</v>
      </c>
      <c r="AC53" s="257">
        <f t="shared" ref="AC53" si="252">SUM(AC46:AC52)</f>
        <v>11973.872395108607</v>
      </c>
      <c r="AD53" s="257">
        <f t="shared" ref="AD53" si="253">SUM(AD46:AD52)</f>
        <v>12288.97430024304</v>
      </c>
      <c r="AE53" s="257">
        <f t="shared" ref="AE53" si="254">SUM(AE46:AE52)</f>
        <v>12604.076205377478</v>
      </c>
      <c r="AF53" s="257">
        <f t="shared" ref="AF53" si="255">SUM(AF46:AF52)</f>
        <v>12919.178110511913</v>
      </c>
      <c r="AG53" s="257">
        <f t="shared" ref="AG53" si="256">SUM(AG46:AG52)</f>
        <v>13234.280015646353</v>
      </c>
      <c r="AH53" s="257">
        <f t="shared" ref="AH53" si="257">SUM(AH46:AH52)</f>
        <v>13549.38192078079</v>
      </c>
      <c r="AI53" s="257">
        <f t="shared" ref="AI53" si="258">SUM(AI46:AI52)</f>
        <v>13864.483825915227</v>
      </c>
      <c r="AJ53" s="257">
        <f t="shared" ref="AJ53" si="259">SUM(AJ46:AJ52)</f>
        <v>14179.585731049665</v>
      </c>
      <c r="AK53" s="257">
        <f t="shared" ref="AK53" si="260">SUM(AK46:AK52)</f>
        <v>14494.687636184102</v>
      </c>
      <c r="AL53" s="257">
        <f t="shared" ref="AL53" si="261">SUM(AL46:AL52)</f>
        <v>14809.789541318538</v>
      </c>
      <c r="AM53" s="257">
        <f t="shared" ref="AM53" si="262">SUM(AM46:AM52)</f>
        <v>15124.891446452973</v>
      </c>
      <c r="AN53" s="257">
        <f t="shared" ref="AN53" si="263">SUM(AN46:AN52)</f>
        <v>15439.993351587411</v>
      </c>
      <c r="AO53" s="257">
        <f t="shared" ref="AO53" si="264">SUM(AO46:AO52)</f>
        <v>15755.095256721848</v>
      </c>
      <c r="AP53" s="257">
        <f t="shared" ref="AP53" si="265">SUM(AP46:AP52)</f>
        <v>16070.197161856286</v>
      </c>
      <c r="AQ53" s="257">
        <f t="shared" ref="AQ53" si="266">SUM(AQ46:AQ52)</f>
        <v>16385.299066990723</v>
      </c>
      <c r="AR53" s="257">
        <f t="shared" ref="AR53" si="267">SUM(AR46:AR52)</f>
        <v>16700.40097212516</v>
      </c>
      <c r="AS53" s="257">
        <f t="shared" ref="AS53" si="268">SUM(AS46:AS52)</f>
        <v>17015.502877259598</v>
      </c>
      <c r="AT53" s="257">
        <f t="shared" ref="AT53" si="269">SUM(AT46:AT52)</f>
        <v>17330.604782394035</v>
      </c>
      <c r="AU53" s="257">
        <f t="shared" ref="AU53" si="270">SUM(AU46:AU52)</f>
        <v>17645.706687528473</v>
      </c>
      <c r="AV53" s="257">
        <f t="shared" ref="AV53" si="271">SUM(AV46:AV52)</f>
        <v>17960.80859266291</v>
      </c>
      <c r="AW53" s="257">
        <f t="shared" ref="AW53" si="272">SUM(AW46:AW52)</f>
        <v>18275.910497797347</v>
      </c>
      <c r="AX53" s="257">
        <f t="shared" ref="AX53" si="273">SUM(AX46:AX52)</f>
        <v>18433.461450364561</v>
      </c>
      <c r="AY53" s="257">
        <f t="shared" ref="AY53" si="274">SUM(AY46:AY52)</f>
        <v>18591.012402931781</v>
      </c>
      <c r="AZ53" s="257">
        <f t="shared" ref="AZ53" si="275">SUM(AZ46:AZ52)</f>
        <v>18748.563355498998</v>
      </c>
      <c r="BA53" s="257">
        <f t="shared" ref="BA53" si="276">SUM(BA46:BA52)</f>
        <v>18906.114308066215</v>
      </c>
      <c r="BB53" s="257">
        <f t="shared" ref="BB53" si="277">SUM(BB46:BB52)</f>
        <v>19063.665260633439</v>
      </c>
      <c r="BC53" s="257">
        <f t="shared" ref="BC53" si="278">SUM(BC46:BC52)</f>
        <v>19221.216213200656</v>
      </c>
      <c r="BD53" s="257">
        <f t="shared" ref="BD53" si="279">SUM(BD46:BD52)</f>
        <v>19378.767165767877</v>
      </c>
      <c r="BE53" s="257">
        <f t="shared" ref="BE53" si="280">SUM(BE46:BE52)</f>
        <v>19536.31811833509</v>
      </c>
      <c r="BF53" s="257">
        <f t="shared" ref="BF53" si="281">SUM(BF46:BF52)</f>
        <v>19693.869070902307</v>
      </c>
      <c r="BG53" s="257">
        <f t="shared" ref="BG53" si="282">SUM(BG46:BG52)</f>
        <v>19851.420023469531</v>
      </c>
      <c r="BH53" s="257">
        <f t="shared" ref="BH53" si="283">SUM(BH46:BH52)</f>
        <v>20008.970976036748</v>
      </c>
      <c r="BI53" s="257">
        <f t="shared" ref="BI53" si="284">SUM(BI46:BI52)</f>
        <v>20166.521928603968</v>
      </c>
      <c r="BJ53" s="257"/>
      <c r="BK53" s="257">
        <f t="shared" ref="BK53" si="285">SUM(B53:M53)</f>
        <v>62390.177216618526</v>
      </c>
      <c r="BL53" s="257">
        <f t="shared" ref="BL53" si="286">SUM(N53:Y53)</f>
        <v>107764.85155597745</v>
      </c>
      <c r="BM53" s="257">
        <f t="shared" ref="BM53" si="287">SUM(Z53:AK53)</f>
        <v>153139.52589533635</v>
      </c>
      <c r="BN53" s="257">
        <f t="shared" ref="BN53" si="288">SUM(AL53:AW53)</f>
        <v>198514.20023469528</v>
      </c>
      <c r="BO53" s="257">
        <f t="shared" ref="BO53" si="289">SUM(AX53:BI53)</f>
        <v>231599.90027381116</v>
      </c>
      <c r="BP53" s="256"/>
      <c r="BQ53" s="398">
        <f t="shared" si="186"/>
        <v>0.16171511682547446</v>
      </c>
      <c r="BR53" s="398">
        <f t="shared" si="187"/>
        <v>0.16171511682547446</v>
      </c>
      <c r="BS53" s="398">
        <f t="shared" si="188"/>
        <v>0.16171511682547443</v>
      </c>
      <c r="BT53" s="398">
        <f t="shared" si="189"/>
        <v>0.16171511682547443</v>
      </c>
      <c r="BU53" s="398">
        <f t="shared" si="190"/>
        <v>0.16171511682547443</v>
      </c>
      <c r="BV53" s="137"/>
    </row>
    <row r="54" spans="1:79">
      <c r="B54" s="141"/>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28"/>
      <c r="BL54" s="146"/>
      <c r="BM54" s="146"/>
      <c r="BN54" s="146"/>
      <c r="BO54" s="146"/>
      <c r="BP54" s="146"/>
      <c r="BQ54" s="397"/>
      <c r="BR54" s="144"/>
      <c r="BS54" s="144"/>
      <c r="BT54" s="144"/>
      <c r="BU54" s="144"/>
      <c r="BV54" s="137"/>
    </row>
    <row r="55" spans="1:79">
      <c r="A55" s="249" t="s">
        <v>305</v>
      </c>
      <c r="B55" s="269">
        <f>B43+B53</f>
        <v>14915.436635051814</v>
      </c>
      <c r="C55" s="269">
        <f t="shared" ref="C55:M55" si="290">C43+C53</f>
        <v>16271.385420056524</v>
      </c>
      <c r="D55" s="269">
        <f t="shared" si="290"/>
        <v>17627.334205061234</v>
      </c>
      <c r="E55" s="269">
        <f t="shared" si="290"/>
        <v>18983.282990065945</v>
      </c>
      <c r="F55" s="269">
        <f t="shared" si="290"/>
        <v>20339.231775070653</v>
      </c>
      <c r="G55" s="269">
        <f t="shared" si="290"/>
        <v>21695.180560075361</v>
      </c>
      <c r="H55" s="269">
        <f t="shared" si="290"/>
        <v>23051.129345080077</v>
      </c>
      <c r="I55" s="269">
        <f t="shared" si="290"/>
        <v>24407.078130084785</v>
      </c>
      <c r="J55" s="269">
        <f t="shared" si="290"/>
        <v>25763.0269150895</v>
      </c>
      <c r="K55" s="269">
        <f t="shared" si="290"/>
        <v>27118.975700094205</v>
      </c>
      <c r="L55" s="269">
        <f t="shared" si="290"/>
        <v>28474.924485098913</v>
      </c>
      <c r="M55" s="269">
        <f t="shared" si="290"/>
        <v>29830.873270103628</v>
      </c>
      <c r="N55" s="269">
        <f t="shared" ref="N55:AN55" si="291">N43+N53</f>
        <v>31186.822055108336</v>
      </c>
      <c r="O55" s="269">
        <f t="shared" si="291"/>
        <v>32542.770840113048</v>
      </c>
      <c r="P55" s="269">
        <f t="shared" si="291"/>
        <v>33898.719625117759</v>
      </c>
      <c r="Q55" s="269">
        <f t="shared" si="291"/>
        <v>35254.668410122467</v>
      </c>
      <c r="R55" s="269">
        <f t="shared" si="291"/>
        <v>36610.617195127183</v>
      </c>
      <c r="S55" s="269">
        <f t="shared" si="291"/>
        <v>37966.565980131891</v>
      </c>
      <c r="T55" s="269">
        <f t="shared" si="291"/>
        <v>39322.514765136599</v>
      </c>
      <c r="U55" s="269">
        <f t="shared" si="291"/>
        <v>40678.463550141307</v>
      </c>
      <c r="V55" s="269">
        <f t="shared" si="291"/>
        <v>42034.412335146015</v>
      </c>
      <c r="W55" s="269">
        <f t="shared" si="291"/>
        <v>43390.361120150723</v>
      </c>
      <c r="X55" s="269">
        <f t="shared" si="291"/>
        <v>44746.309905155445</v>
      </c>
      <c r="Y55" s="269">
        <f t="shared" si="291"/>
        <v>46102.258690160153</v>
      </c>
      <c r="Z55" s="269">
        <f t="shared" si="291"/>
        <v>47458.207475164869</v>
      </c>
      <c r="AA55" s="269">
        <f t="shared" si="291"/>
        <v>48814.15626016957</v>
      </c>
      <c r="AB55" s="269">
        <f t="shared" si="291"/>
        <v>50170.105045174278</v>
      </c>
      <c r="AC55" s="269">
        <f t="shared" si="291"/>
        <v>51526.053830179</v>
      </c>
      <c r="AD55" s="269">
        <f t="shared" si="291"/>
        <v>52882.002615183694</v>
      </c>
      <c r="AE55" s="269">
        <f t="shared" si="291"/>
        <v>54237.951400188409</v>
      </c>
      <c r="AF55" s="269">
        <f t="shared" si="291"/>
        <v>55593.900185193124</v>
      </c>
      <c r="AG55" s="269">
        <f t="shared" si="291"/>
        <v>56949.848970197825</v>
      </c>
      <c r="AH55" s="269">
        <f t="shared" si="291"/>
        <v>58305.79775520254</v>
      </c>
      <c r="AI55" s="269">
        <f t="shared" si="291"/>
        <v>59661.746540207256</v>
      </c>
      <c r="AJ55" s="269">
        <f t="shared" si="291"/>
        <v>61017.695325211971</v>
      </c>
      <c r="AK55" s="269">
        <f t="shared" si="291"/>
        <v>62373.644110216672</v>
      </c>
      <c r="AL55" s="269">
        <f t="shared" si="291"/>
        <v>63729.592895221387</v>
      </c>
      <c r="AM55" s="269">
        <f t="shared" si="291"/>
        <v>65085.541680226095</v>
      </c>
      <c r="AN55" s="269">
        <f t="shared" si="291"/>
        <v>66441.490465230803</v>
      </c>
      <c r="AO55" s="269">
        <f t="shared" ref="AO55:BI55" si="292">AO43+AO53</f>
        <v>67797.439250235519</v>
      </c>
      <c r="AP55" s="269">
        <f t="shared" si="292"/>
        <v>69153.388035240234</v>
      </c>
      <c r="AQ55" s="269">
        <f t="shared" si="292"/>
        <v>70509.336820244935</v>
      </c>
      <c r="AR55" s="269">
        <f t="shared" si="292"/>
        <v>71865.285605249635</v>
      </c>
      <c r="AS55" s="269">
        <f t="shared" si="292"/>
        <v>73221.234390254365</v>
      </c>
      <c r="AT55" s="269">
        <f t="shared" si="292"/>
        <v>74577.183175259066</v>
      </c>
      <c r="AU55" s="269">
        <f t="shared" si="292"/>
        <v>75933.131960263781</v>
      </c>
      <c r="AV55" s="269">
        <f t="shared" si="292"/>
        <v>77289.080745268497</v>
      </c>
      <c r="AW55" s="269">
        <f t="shared" si="292"/>
        <v>78645.029530273197</v>
      </c>
      <c r="AX55" s="269">
        <f t="shared" si="292"/>
        <v>79323.003922775548</v>
      </c>
      <c r="AY55" s="269">
        <f t="shared" si="292"/>
        <v>80000.978315277898</v>
      </c>
      <c r="AZ55" s="269">
        <f t="shared" si="292"/>
        <v>80678.952707780263</v>
      </c>
      <c r="BA55" s="269">
        <f t="shared" si="292"/>
        <v>81356.927100282614</v>
      </c>
      <c r="BB55" s="269">
        <f t="shared" si="292"/>
        <v>82034.901492784978</v>
      </c>
      <c r="BC55" s="269">
        <f t="shared" si="292"/>
        <v>82712.875885287329</v>
      </c>
      <c r="BD55" s="269">
        <f t="shared" si="292"/>
        <v>83390.850277789694</v>
      </c>
      <c r="BE55" s="269">
        <f t="shared" si="292"/>
        <v>84068.82467029203</v>
      </c>
      <c r="BF55" s="269">
        <f t="shared" si="292"/>
        <v>84746.799062794395</v>
      </c>
      <c r="BG55" s="269">
        <f t="shared" si="292"/>
        <v>85424.773455296759</v>
      </c>
      <c r="BH55" s="269">
        <f t="shared" si="292"/>
        <v>86102.747847799095</v>
      </c>
      <c r="BI55" s="269">
        <f t="shared" si="292"/>
        <v>86780.722240301446</v>
      </c>
      <c r="BJ55" s="269"/>
      <c r="BK55" s="269">
        <f>SUM(B55:M55)</f>
        <v>268477.85943093267</v>
      </c>
      <c r="BL55" s="269">
        <f t="shared" ref="BL55" si="293">SUM(N55:Y55)</f>
        <v>463734.48447161098</v>
      </c>
      <c r="BM55" s="269">
        <f t="shared" ref="BM55" si="294">SUM(Z55:AK55)</f>
        <v>658991.10951228929</v>
      </c>
      <c r="BN55" s="269">
        <f t="shared" ref="BN55" si="295">SUM(AL55:AW55)</f>
        <v>854247.73455296748</v>
      </c>
      <c r="BO55" s="269">
        <f t="shared" ref="BO55" si="296">SUM(AX55:BI55)</f>
        <v>996622.35697846208</v>
      </c>
      <c r="BP55" s="338"/>
      <c r="BQ55" s="402">
        <f t="shared" si="186"/>
        <v>0.69589365409530946</v>
      </c>
      <c r="BR55" s="402">
        <f t="shared" si="187"/>
        <v>0.69589365409530946</v>
      </c>
      <c r="BS55" s="402">
        <f t="shared" si="188"/>
        <v>0.69589365409530946</v>
      </c>
      <c r="BT55" s="402">
        <f t="shared" si="189"/>
        <v>0.69589365409530934</v>
      </c>
      <c r="BU55" s="402">
        <f t="shared" si="190"/>
        <v>0.69589365409530934</v>
      </c>
      <c r="CA55" s="278"/>
    </row>
    <row r="56" spans="1:79">
      <c r="A56" s="176"/>
      <c r="B56" s="144"/>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6"/>
      <c r="BL56" s="146"/>
      <c r="BM56" s="146"/>
      <c r="BN56" s="146"/>
      <c r="BO56" s="146"/>
      <c r="BP56" s="146"/>
      <c r="BQ56" s="144"/>
      <c r="BR56" s="144"/>
      <c r="BS56" s="144"/>
      <c r="BT56" s="144"/>
      <c r="BU56" s="144"/>
    </row>
    <row r="57" spans="1:79">
      <c r="A57" s="271" t="s">
        <v>55</v>
      </c>
      <c r="B57" s="272">
        <f t="shared" ref="B57:M57" si="297">B36-B43-B53</f>
        <v>6518.0633649481852</v>
      </c>
      <c r="C57" s="272">
        <f t="shared" si="297"/>
        <v>7110.6145799434762</v>
      </c>
      <c r="D57" s="272">
        <f t="shared" si="297"/>
        <v>7703.1657949387663</v>
      </c>
      <c r="E57" s="272">
        <f t="shared" si="297"/>
        <v>8295.7170099340547</v>
      </c>
      <c r="F57" s="272">
        <f t="shared" si="297"/>
        <v>8888.2682249293466</v>
      </c>
      <c r="G57" s="272">
        <f t="shared" si="297"/>
        <v>9480.8194399246386</v>
      </c>
      <c r="H57" s="272">
        <f t="shared" si="297"/>
        <v>10073.370654919923</v>
      </c>
      <c r="I57" s="272">
        <f t="shared" si="297"/>
        <v>10665.921869915215</v>
      </c>
      <c r="J57" s="272">
        <f t="shared" si="297"/>
        <v>11258.4730849105</v>
      </c>
      <c r="K57" s="272">
        <f t="shared" si="297"/>
        <v>11851.024299905797</v>
      </c>
      <c r="L57" s="272">
        <f t="shared" si="297"/>
        <v>12443.575514901086</v>
      </c>
      <c r="M57" s="272">
        <f t="shared" si="297"/>
        <v>13036.12672989637</v>
      </c>
      <c r="N57" s="272">
        <f t="shared" ref="N57:AN57" si="298">N36-N43-N53</f>
        <v>13628.677944891662</v>
      </c>
      <c r="O57" s="272">
        <f t="shared" si="298"/>
        <v>14221.229159886952</v>
      </c>
      <c r="P57" s="272">
        <f t="shared" si="298"/>
        <v>14813.780374882241</v>
      </c>
      <c r="Q57" s="272">
        <f t="shared" si="298"/>
        <v>15406.331589877533</v>
      </c>
      <c r="R57" s="272">
        <f t="shared" si="298"/>
        <v>15998.882804872821</v>
      </c>
      <c r="S57" s="272">
        <f t="shared" si="298"/>
        <v>16591.434019868109</v>
      </c>
      <c r="T57" s="272">
        <f t="shared" si="298"/>
        <v>17183.985234863401</v>
      </c>
      <c r="U57" s="272">
        <f t="shared" si="298"/>
        <v>17776.536449858693</v>
      </c>
      <c r="V57" s="272">
        <f t="shared" si="298"/>
        <v>18369.087664853985</v>
      </c>
      <c r="W57" s="272">
        <f t="shared" si="298"/>
        <v>18961.638879849277</v>
      </c>
      <c r="X57" s="272">
        <f t="shared" si="298"/>
        <v>19554.190094844558</v>
      </c>
      <c r="Y57" s="272">
        <f t="shared" si="298"/>
        <v>20146.741309839847</v>
      </c>
      <c r="Z57" s="272">
        <f t="shared" si="298"/>
        <v>20739.292524835131</v>
      </c>
      <c r="AA57" s="272">
        <f t="shared" si="298"/>
        <v>21331.84373983043</v>
      </c>
      <c r="AB57" s="272">
        <f t="shared" si="298"/>
        <v>21924.394954825719</v>
      </c>
      <c r="AC57" s="272">
        <f t="shared" si="298"/>
        <v>22516.946169821</v>
      </c>
      <c r="AD57" s="272">
        <f t="shared" si="298"/>
        <v>23109.497384816306</v>
      </c>
      <c r="AE57" s="272">
        <f t="shared" si="298"/>
        <v>23702.048599811595</v>
      </c>
      <c r="AF57" s="272">
        <f t="shared" si="298"/>
        <v>24294.599814806876</v>
      </c>
      <c r="AG57" s="272">
        <f t="shared" si="298"/>
        <v>24887.151029802171</v>
      </c>
      <c r="AH57" s="272">
        <f t="shared" si="298"/>
        <v>25479.70224479746</v>
      </c>
      <c r="AI57" s="272">
        <f t="shared" si="298"/>
        <v>26072.253459792741</v>
      </c>
      <c r="AJ57" s="272">
        <f t="shared" si="298"/>
        <v>26664.804674788029</v>
      </c>
      <c r="AK57" s="272">
        <f t="shared" si="298"/>
        <v>27257.355889783325</v>
      </c>
      <c r="AL57" s="272">
        <f t="shared" si="298"/>
        <v>27849.907104778613</v>
      </c>
      <c r="AM57" s="272">
        <f t="shared" si="298"/>
        <v>28442.458319773905</v>
      </c>
      <c r="AN57" s="272">
        <f t="shared" si="298"/>
        <v>29035.0095347692</v>
      </c>
      <c r="AO57" s="272">
        <f t="shared" ref="AO57:BI57" si="299">AO36-AO43-AO53</f>
        <v>29627.560749764481</v>
      </c>
      <c r="AP57" s="272">
        <f t="shared" si="299"/>
        <v>30220.11196475977</v>
      </c>
      <c r="AQ57" s="272">
        <f t="shared" si="299"/>
        <v>30812.663179755065</v>
      </c>
      <c r="AR57" s="272">
        <f t="shared" si="299"/>
        <v>31405.214394750361</v>
      </c>
      <c r="AS57" s="272">
        <f t="shared" si="299"/>
        <v>31997.765609745642</v>
      </c>
      <c r="AT57" s="272">
        <f t="shared" si="299"/>
        <v>32590.316824740938</v>
      </c>
      <c r="AU57" s="272">
        <f t="shared" si="299"/>
        <v>33182.868039736219</v>
      </c>
      <c r="AV57" s="272">
        <f t="shared" si="299"/>
        <v>33775.419254731503</v>
      </c>
      <c r="AW57" s="272">
        <f t="shared" si="299"/>
        <v>34367.970469726803</v>
      </c>
      <c r="AX57" s="272">
        <f t="shared" si="299"/>
        <v>34664.246077224452</v>
      </c>
      <c r="AY57" s="272">
        <f t="shared" si="299"/>
        <v>34960.521684722095</v>
      </c>
      <c r="AZ57" s="272">
        <f t="shared" si="299"/>
        <v>35256.79729221973</v>
      </c>
      <c r="BA57" s="272">
        <f t="shared" si="299"/>
        <v>35553.072899717386</v>
      </c>
      <c r="BB57" s="272">
        <f t="shared" si="299"/>
        <v>35849.348507215022</v>
      </c>
      <c r="BC57" s="272">
        <f t="shared" si="299"/>
        <v>36145.624114712664</v>
      </c>
      <c r="BD57" s="272">
        <f t="shared" si="299"/>
        <v>36441.899722210306</v>
      </c>
      <c r="BE57" s="272">
        <f t="shared" si="299"/>
        <v>36738.17532970797</v>
      </c>
      <c r="BF57" s="272">
        <f t="shared" si="299"/>
        <v>37034.450937205613</v>
      </c>
      <c r="BG57" s="272">
        <f t="shared" si="299"/>
        <v>37330.726544703241</v>
      </c>
      <c r="BH57" s="272">
        <f t="shared" si="299"/>
        <v>37627.002152200897</v>
      </c>
      <c r="BI57" s="272">
        <f t="shared" si="299"/>
        <v>37923.277759698554</v>
      </c>
      <c r="BJ57" s="272"/>
      <c r="BK57" s="272">
        <f>SUM(B57:M57)</f>
        <v>117325.14056906734</v>
      </c>
      <c r="BL57" s="272">
        <f t="shared" ref="BL57" si="300">SUM(N57:Y57)</f>
        <v>202652.51552838911</v>
      </c>
      <c r="BM57" s="272">
        <f t="shared" ref="BM57" si="301">SUM(Z57:AK57)</f>
        <v>287979.89048771077</v>
      </c>
      <c r="BN57" s="272">
        <f t="shared" ref="BN57" si="302">SUM(AL57:AW57)</f>
        <v>373307.26544703252</v>
      </c>
      <c r="BO57" s="272">
        <f t="shared" ref="BO57" si="303">SUM(AX57:BI57)</f>
        <v>435525.14302153798</v>
      </c>
      <c r="BP57" s="339"/>
      <c r="BQ57" s="403">
        <f t="shared" si="186"/>
        <v>0.3041063459046906</v>
      </c>
      <c r="BR57" s="403">
        <f t="shared" si="187"/>
        <v>0.30410634590469066</v>
      </c>
      <c r="BS57" s="403">
        <f t="shared" si="188"/>
        <v>0.3041063459046906</v>
      </c>
      <c r="BT57" s="403">
        <f t="shared" si="189"/>
        <v>0.30410634590469066</v>
      </c>
      <c r="BU57" s="403">
        <f t="shared" si="190"/>
        <v>0.30410634590469066</v>
      </c>
    </row>
    <row r="58" spans="1:79">
      <c r="B58" s="125">
        <f>B36/B26</f>
        <v>21.340561853129621</v>
      </c>
      <c r="C58" s="125">
        <f t="shared" ref="C58:BN58" si="304">C36/C26</f>
        <v>21.340561853129625</v>
      </c>
      <c r="D58" s="125">
        <f t="shared" si="304"/>
        <v>21.340561853129618</v>
      </c>
      <c r="E58" s="125">
        <f t="shared" si="304"/>
        <v>21.340561853129621</v>
      </c>
      <c r="F58" s="125">
        <f t="shared" si="304"/>
        <v>21.340561853129625</v>
      </c>
      <c r="G58" s="125">
        <f t="shared" si="304"/>
        <v>21.340561853129621</v>
      </c>
      <c r="H58" s="125">
        <f t="shared" si="304"/>
        <v>21.340561853129621</v>
      </c>
      <c r="I58" s="125">
        <f t="shared" si="304"/>
        <v>21.340561853129621</v>
      </c>
      <c r="J58" s="125">
        <f t="shared" si="304"/>
        <v>21.340561853129621</v>
      </c>
      <c r="K58" s="125">
        <f t="shared" si="304"/>
        <v>21.340561853129621</v>
      </c>
      <c r="L58" s="125">
        <f t="shared" si="304"/>
        <v>21.340561853129621</v>
      </c>
      <c r="M58" s="125">
        <f t="shared" si="304"/>
        <v>21.340561853129621</v>
      </c>
      <c r="N58" s="125">
        <f t="shared" si="304"/>
        <v>21.340561853129618</v>
      </c>
      <c r="O58" s="125">
        <f t="shared" si="304"/>
        <v>21.340561853129625</v>
      </c>
      <c r="P58" s="125">
        <f t="shared" si="304"/>
        <v>21.340561853129621</v>
      </c>
      <c r="Q58" s="125">
        <f t="shared" si="304"/>
        <v>21.340561853129618</v>
      </c>
      <c r="R58" s="125">
        <f t="shared" si="304"/>
        <v>21.340561853129618</v>
      </c>
      <c r="S58" s="125">
        <f t="shared" si="304"/>
        <v>21.340561853129621</v>
      </c>
      <c r="T58" s="125">
        <f t="shared" si="304"/>
        <v>21.340561853129618</v>
      </c>
      <c r="U58" s="125">
        <f t="shared" si="304"/>
        <v>21.340561853129625</v>
      </c>
      <c r="V58" s="125">
        <f t="shared" si="304"/>
        <v>21.340561853129621</v>
      </c>
      <c r="W58" s="125">
        <f t="shared" si="304"/>
        <v>21.340561853129621</v>
      </c>
      <c r="X58" s="125">
        <f t="shared" si="304"/>
        <v>21.340561853129621</v>
      </c>
      <c r="Y58" s="125">
        <f t="shared" si="304"/>
        <v>21.340561853129621</v>
      </c>
      <c r="Z58" s="125">
        <f t="shared" si="304"/>
        <v>21.340561853129618</v>
      </c>
      <c r="AA58" s="125">
        <f t="shared" si="304"/>
        <v>21.340561853129621</v>
      </c>
      <c r="AB58" s="125">
        <f t="shared" si="304"/>
        <v>21.340561853129618</v>
      </c>
      <c r="AC58" s="125">
        <f t="shared" si="304"/>
        <v>21.340561853129621</v>
      </c>
      <c r="AD58" s="125">
        <f t="shared" si="304"/>
        <v>21.340561853129621</v>
      </c>
      <c r="AE58" s="125">
        <f t="shared" si="304"/>
        <v>21.340561853129621</v>
      </c>
      <c r="AF58" s="125">
        <f t="shared" si="304"/>
        <v>21.340561853129621</v>
      </c>
      <c r="AG58" s="125">
        <f t="shared" si="304"/>
        <v>21.340561853129621</v>
      </c>
      <c r="AH58" s="125">
        <f t="shared" si="304"/>
        <v>21.340561853129618</v>
      </c>
      <c r="AI58" s="125">
        <f t="shared" si="304"/>
        <v>21.340561853129621</v>
      </c>
      <c r="AJ58" s="125">
        <f t="shared" si="304"/>
        <v>21.340561853129618</v>
      </c>
      <c r="AK58" s="125">
        <f t="shared" si="304"/>
        <v>21.340561853129618</v>
      </c>
      <c r="AL58" s="125">
        <f t="shared" si="304"/>
        <v>21.340561853129621</v>
      </c>
      <c r="AM58" s="125">
        <f t="shared" si="304"/>
        <v>21.340561853129625</v>
      </c>
      <c r="AN58" s="125">
        <f t="shared" si="304"/>
        <v>21.340561853129621</v>
      </c>
      <c r="AO58" s="125">
        <f t="shared" si="304"/>
        <v>21.340561853129621</v>
      </c>
      <c r="AP58" s="125">
        <f t="shared" si="304"/>
        <v>21.340561853129618</v>
      </c>
      <c r="AQ58" s="125">
        <f t="shared" si="304"/>
        <v>21.340561853129618</v>
      </c>
      <c r="AR58" s="125">
        <f t="shared" si="304"/>
        <v>21.340561853129621</v>
      </c>
      <c r="AS58" s="125">
        <f t="shared" si="304"/>
        <v>21.340561853129618</v>
      </c>
      <c r="AT58" s="125">
        <f t="shared" si="304"/>
        <v>21.340561853129621</v>
      </c>
      <c r="AU58" s="125">
        <f t="shared" si="304"/>
        <v>21.340561853129621</v>
      </c>
      <c r="AV58" s="125">
        <f t="shared" si="304"/>
        <v>21.340561853129621</v>
      </c>
      <c r="AW58" s="125">
        <f t="shared" si="304"/>
        <v>21.340561853129618</v>
      </c>
      <c r="AX58" s="125">
        <f t="shared" si="304"/>
        <v>21.340561853129621</v>
      </c>
      <c r="AY58" s="125">
        <f t="shared" si="304"/>
        <v>21.340561853129621</v>
      </c>
      <c r="AZ58" s="125">
        <f t="shared" si="304"/>
        <v>21.340561853129621</v>
      </c>
      <c r="BA58" s="125">
        <f t="shared" si="304"/>
        <v>21.340561853129625</v>
      </c>
      <c r="BB58" s="125">
        <f t="shared" si="304"/>
        <v>21.340561853129621</v>
      </c>
      <c r="BC58" s="125">
        <f t="shared" si="304"/>
        <v>21.340561853129618</v>
      </c>
      <c r="BD58" s="125">
        <f t="shared" si="304"/>
        <v>21.340561853129618</v>
      </c>
      <c r="BE58" s="125">
        <f t="shared" si="304"/>
        <v>21.340561853129621</v>
      </c>
      <c r="BF58" s="125">
        <f t="shared" si="304"/>
        <v>21.340561853129621</v>
      </c>
      <c r="BG58" s="125">
        <f t="shared" si="304"/>
        <v>21.340561853129621</v>
      </c>
      <c r="BH58" s="125">
        <f t="shared" si="304"/>
        <v>21.340561853129618</v>
      </c>
      <c r="BI58" s="125">
        <f t="shared" si="304"/>
        <v>21.340561853129621</v>
      </c>
      <c r="BJ58" s="125" t="e">
        <f t="shared" si="304"/>
        <v>#DIV/0!</v>
      </c>
      <c r="BK58" s="125">
        <f t="shared" si="304"/>
        <v>21.340561853129621</v>
      </c>
      <c r="BL58" s="125">
        <f t="shared" si="304"/>
        <v>21.340561853129621</v>
      </c>
      <c r="BM58" s="125">
        <f t="shared" si="304"/>
        <v>21.340561853129618</v>
      </c>
      <c r="BN58" s="125">
        <f t="shared" si="304"/>
        <v>21.340561853129621</v>
      </c>
      <c r="BO58" s="125">
        <f t="shared" ref="BO58" si="305">BO36/BO26</f>
        <v>21.340561853129614</v>
      </c>
    </row>
    <row r="59" spans="1:79">
      <c r="A59" s="26"/>
      <c r="B59" s="392">
        <f>B55/B26</f>
        <v>14.850761568421339</v>
      </c>
      <c r="C59" s="392"/>
      <c r="D59" s="392"/>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2"/>
      <c r="AN59" s="392"/>
      <c r="AO59" s="392"/>
      <c r="AP59" s="392"/>
      <c r="AQ59" s="392"/>
      <c r="AR59" s="392"/>
      <c r="AS59" s="392"/>
      <c r="AT59" s="392"/>
      <c r="AU59" s="392"/>
      <c r="AV59" s="392"/>
      <c r="AW59" s="392"/>
      <c r="AX59" s="392"/>
      <c r="AY59" s="392"/>
      <c r="AZ59" s="392"/>
      <c r="BA59" s="392"/>
      <c r="BB59" s="392"/>
      <c r="BC59" s="392"/>
      <c r="BD59" s="392"/>
      <c r="BE59" s="392"/>
      <c r="BF59" s="392"/>
      <c r="BG59" s="392"/>
      <c r="BH59" s="392"/>
      <c r="BI59" s="392"/>
      <c r="BJ59" s="392"/>
      <c r="BK59" s="392"/>
      <c r="BL59" s="392"/>
      <c r="BM59" s="392"/>
      <c r="BN59" s="392"/>
      <c r="BO59" s="392"/>
      <c r="BP59" s="146"/>
      <c r="BQ59" s="144"/>
      <c r="BR59" s="144"/>
      <c r="BS59" s="144"/>
      <c r="BT59" s="144"/>
      <c r="BU59" s="144"/>
    </row>
    <row r="60" spans="1:79">
      <c r="A60" s="160" t="s">
        <v>304</v>
      </c>
      <c r="B60" s="144"/>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44"/>
      <c r="BL60" s="144"/>
      <c r="BM60" s="144"/>
      <c r="BN60" s="144"/>
      <c r="BO60" s="144"/>
      <c r="BP60" s="144"/>
      <c r="BQ60" s="144"/>
      <c r="BR60" s="144"/>
      <c r="BS60" s="144"/>
      <c r="BT60" s="144"/>
      <c r="BU60" s="144"/>
    </row>
    <row r="61" spans="1:79">
      <c r="A61" s="160" t="s">
        <v>314</v>
      </c>
      <c r="B61" s="144"/>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44"/>
      <c r="BL61" s="144"/>
      <c r="BM61" s="144"/>
      <c r="BN61" s="144"/>
      <c r="BO61" s="144"/>
      <c r="BP61" s="144"/>
      <c r="BQ61" s="144"/>
      <c r="BR61" s="144"/>
      <c r="BS61" s="144"/>
      <c r="BT61" s="144"/>
      <c r="BU61" s="144"/>
    </row>
    <row r="62" spans="1:79">
      <c r="A62" s="133" t="s">
        <v>69</v>
      </c>
      <c r="B62" s="146">
        <f>('Income Statement Projections'!B18/'Data Entry'!$D$88)*('Data Entry'!$D$87*2080/12)</f>
        <v>429</v>
      </c>
      <c r="C62" s="146">
        <f>('Income Statement Projections'!C18/'Data Entry'!$D$88)*('Data Entry'!$D$87*2080/12)</f>
        <v>468.00000000000011</v>
      </c>
      <c r="D62" s="146">
        <f>('Income Statement Projections'!D18/'Data Entry'!$D$88)*('Data Entry'!$D$87*2080/12)</f>
        <v>507</v>
      </c>
      <c r="E62" s="146">
        <f>('Income Statement Projections'!E18/'Data Entry'!$D$88)*('Data Entry'!$D$87*2080/12)</f>
        <v>546</v>
      </c>
      <c r="F62" s="146">
        <f>('Income Statement Projections'!F18/'Data Entry'!$D$88)*('Data Entry'!$D$87*2080/12)</f>
        <v>585.00000000000011</v>
      </c>
      <c r="G62" s="146">
        <f>('Income Statement Projections'!G18/'Data Entry'!$D$88)*('Data Entry'!$D$87*2080/12)</f>
        <v>624</v>
      </c>
      <c r="H62" s="146">
        <f>('Income Statement Projections'!H18/'Data Entry'!$D$88)*('Data Entry'!$D$87*2080/12)</f>
        <v>663</v>
      </c>
      <c r="I62" s="146">
        <f>('Income Statement Projections'!I18/'Data Entry'!$D$88)*('Data Entry'!$D$87*2080/12)</f>
        <v>702</v>
      </c>
      <c r="J62" s="146">
        <f>('Income Statement Projections'!J18/'Data Entry'!$D$88)*('Data Entry'!$D$87*2080/12)</f>
        <v>740.99999999999989</v>
      </c>
      <c r="K62" s="146">
        <f>('Income Statement Projections'!K18/'Data Entry'!$D$88)*('Data Entry'!$D$87*2080/12)</f>
        <v>780</v>
      </c>
      <c r="L62" s="146">
        <f>('Income Statement Projections'!L18/'Data Entry'!$D$88)*('Data Entry'!$D$87*2080/12)</f>
        <v>819</v>
      </c>
      <c r="M62" s="146">
        <f>('Income Statement Projections'!M18/'Data Entry'!$D$88)*('Data Entry'!$D$87*2080/12)</f>
        <v>858</v>
      </c>
      <c r="N62" s="146">
        <f>('Income Statement Projections'!N18/'Data Entry'!$D$88)*('Data Entry'!$D$87*2080/12)</f>
        <v>897.00000000000023</v>
      </c>
      <c r="O62" s="146">
        <f>('Income Statement Projections'!O18/'Data Entry'!$D$88)*('Data Entry'!$D$87*2080/12)</f>
        <v>936.00000000000023</v>
      </c>
      <c r="P62" s="146">
        <f>('Income Statement Projections'!P18/'Data Entry'!$D$88)*('Data Entry'!$D$87*2080/12)</f>
        <v>975</v>
      </c>
      <c r="Q62" s="146">
        <f>('Income Statement Projections'!Q18/'Data Entry'!$D$88)*('Data Entry'!$D$87*2080/12)</f>
        <v>1014</v>
      </c>
      <c r="R62" s="146">
        <f>('Income Statement Projections'!R18/'Data Entry'!$D$88)*('Data Entry'!$D$87*2080/12)</f>
        <v>1053</v>
      </c>
      <c r="S62" s="146">
        <f>('Income Statement Projections'!S18/'Data Entry'!$D$88)*('Data Entry'!$D$87*2080/12)</f>
        <v>1092</v>
      </c>
      <c r="T62" s="146">
        <f>('Income Statement Projections'!T18/'Data Entry'!$D$88)*('Data Entry'!$D$87*2080/12)</f>
        <v>1131</v>
      </c>
      <c r="U62" s="146">
        <f>('Income Statement Projections'!U18/'Data Entry'!$D$88)*('Data Entry'!$D$87*2080/12)</f>
        <v>1170.0000000000002</v>
      </c>
      <c r="V62" s="146">
        <f>('Income Statement Projections'!V18/'Data Entry'!$D$88)*('Data Entry'!$D$87*2080/12)</f>
        <v>1209.0000000000002</v>
      </c>
      <c r="W62" s="146">
        <f>('Income Statement Projections'!W18/'Data Entry'!$D$88)*('Data Entry'!$D$87*2080/12)</f>
        <v>1248</v>
      </c>
      <c r="X62" s="146">
        <f>('Income Statement Projections'!X18/'Data Entry'!$D$88)*('Data Entry'!$D$87*2080/12)</f>
        <v>1287</v>
      </c>
      <c r="Y62" s="146">
        <f>('Income Statement Projections'!Y18/'Data Entry'!$D$88)*('Data Entry'!$D$87*2080/12)</f>
        <v>1326</v>
      </c>
      <c r="Z62" s="146">
        <f>('Income Statement Projections'!Z18/'Data Entry'!$D$88)*('Data Entry'!$D$87*2080/12)</f>
        <v>1365</v>
      </c>
      <c r="AA62" s="146">
        <f>('Income Statement Projections'!AA18/'Data Entry'!$D$88)*('Data Entry'!$D$87*2080/12)</f>
        <v>1404</v>
      </c>
      <c r="AB62" s="146">
        <f>('Income Statement Projections'!AB18/'Data Entry'!$D$88)*('Data Entry'!$D$87*2080/12)</f>
        <v>1443.0000000000002</v>
      </c>
      <c r="AC62" s="146">
        <f>('Income Statement Projections'!AC18/'Data Entry'!$D$88)*('Data Entry'!$D$87*2080/12)</f>
        <v>1481.9999999999998</v>
      </c>
      <c r="AD62" s="146">
        <f>('Income Statement Projections'!AD18/'Data Entry'!$D$88)*('Data Entry'!$D$87*2080/12)</f>
        <v>1521.0000000000002</v>
      </c>
      <c r="AE62" s="146">
        <f>('Income Statement Projections'!AE18/'Data Entry'!$D$88)*('Data Entry'!$D$87*2080/12)</f>
        <v>1560</v>
      </c>
      <c r="AF62" s="146">
        <f>('Income Statement Projections'!AF18/'Data Entry'!$D$88)*('Data Entry'!$D$87*2080/12)</f>
        <v>1599.0000000000002</v>
      </c>
      <c r="AG62" s="146">
        <f>('Income Statement Projections'!AG18/'Data Entry'!$D$88)*('Data Entry'!$D$87*2080/12)</f>
        <v>1638</v>
      </c>
      <c r="AH62" s="146">
        <f>('Income Statement Projections'!AH18/'Data Entry'!$D$88)*('Data Entry'!$D$87*2080/12)</f>
        <v>1677</v>
      </c>
      <c r="AI62" s="146">
        <f>('Income Statement Projections'!AI18/'Data Entry'!$D$88)*('Data Entry'!$D$87*2080/12)</f>
        <v>1716</v>
      </c>
      <c r="AJ62" s="146">
        <f>('Income Statement Projections'!AJ18/'Data Entry'!$D$88)*('Data Entry'!$D$87*2080/12)</f>
        <v>1755.0000000000002</v>
      </c>
      <c r="AK62" s="146">
        <f>('Income Statement Projections'!AK18/'Data Entry'!$D$88)*('Data Entry'!$D$87*2080/12)</f>
        <v>1794.0000000000005</v>
      </c>
      <c r="AL62" s="146">
        <f>('Income Statement Projections'!AL18/'Data Entry'!$D$88)*('Data Entry'!$D$87*2080/12)</f>
        <v>1833</v>
      </c>
      <c r="AM62" s="146">
        <f>('Income Statement Projections'!AM18/'Data Entry'!$D$88)*('Data Entry'!$D$87*2080/12)</f>
        <v>1872.0000000000005</v>
      </c>
      <c r="AN62" s="146">
        <f>('Income Statement Projections'!AN18/'Data Entry'!$D$88)*('Data Entry'!$D$87*2080/12)</f>
        <v>1911</v>
      </c>
      <c r="AO62" s="146">
        <f>('Income Statement Projections'!AO18/'Data Entry'!$D$88)*('Data Entry'!$D$87*2080/12)</f>
        <v>1950</v>
      </c>
      <c r="AP62" s="146">
        <f>('Income Statement Projections'!AP18/'Data Entry'!$D$88)*('Data Entry'!$D$87*2080/12)</f>
        <v>1989</v>
      </c>
      <c r="AQ62" s="146">
        <f>('Income Statement Projections'!AQ18/'Data Entry'!$D$88)*('Data Entry'!$D$87*2080/12)</f>
        <v>2028</v>
      </c>
      <c r="AR62" s="146">
        <f>('Income Statement Projections'!AR18/'Data Entry'!$D$88)*('Data Entry'!$D$87*2080/12)</f>
        <v>2067.0000000000005</v>
      </c>
      <c r="AS62" s="146">
        <f>('Income Statement Projections'!AS18/'Data Entry'!$D$88)*('Data Entry'!$D$87*2080/12)</f>
        <v>2106</v>
      </c>
      <c r="AT62" s="146">
        <f>('Income Statement Projections'!AT18/'Data Entry'!$D$88)*('Data Entry'!$D$87*2080/12)</f>
        <v>2145.0000000000005</v>
      </c>
      <c r="AU62" s="146">
        <f>('Income Statement Projections'!AU18/'Data Entry'!$D$88)*('Data Entry'!$D$87*2080/12)</f>
        <v>2184</v>
      </c>
      <c r="AV62" s="146">
        <f>('Income Statement Projections'!AV18/'Data Entry'!$D$88)*('Data Entry'!$D$87*2080/12)</f>
        <v>2223</v>
      </c>
      <c r="AW62" s="146">
        <f>('Income Statement Projections'!AW18/'Data Entry'!$D$88)*('Data Entry'!$D$87*2080/12)</f>
        <v>2262</v>
      </c>
      <c r="AX62" s="146">
        <f>('Income Statement Projections'!AX18/'Data Entry'!$D$88)*('Data Entry'!$D$87*2080/12)</f>
        <v>2281.5000000000005</v>
      </c>
      <c r="AY62" s="146">
        <f>('Income Statement Projections'!AY18/'Data Entry'!$D$88)*('Data Entry'!$D$87*2080/12)</f>
        <v>2301</v>
      </c>
      <c r="AZ62" s="146">
        <f>('Income Statement Projections'!AZ18/'Data Entry'!$D$88)*('Data Entry'!$D$87*2080/12)</f>
        <v>2320.5</v>
      </c>
      <c r="BA62" s="146">
        <f>('Income Statement Projections'!BA18/'Data Entry'!$D$88)*('Data Entry'!$D$87*2080/12)</f>
        <v>2340.0000000000005</v>
      </c>
      <c r="BB62" s="146">
        <f>('Income Statement Projections'!BB18/'Data Entry'!$D$88)*('Data Entry'!$D$87*2080/12)</f>
        <v>2359.5</v>
      </c>
      <c r="BC62" s="146">
        <f>('Income Statement Projections'!BC18/'Data Entry'!$D$88)*('Data Entry'!$D$87*2080/12)</f>
        <v>2379</v>
      </c>
      <c r="BD62" s="146">
        <f>('Income Statement Projections'!BD18/'Data Entry'!$D$88)*('Data Entry'!$D$87*2080/12)</f>
        <v>2398.5</v>
      </c>
      <c r="BE62" s="146">
        <f>('Income Statement Projections'!BE18/'Data Entry'!$D$88)*('Data Entry'!$D$87*2080/12)</f>
        <v>2418.0000000000005</v>
      </c>
      <c r="BF62" s="146">
        <f>('Income Statement Projections'!BF18/'Data Entry'!$D$88)*('Data Entry'!$D$87*2080/12)</f>
        <v>2437.5</v>
      </c>
      <c r="BG62" s="146">
        <f>('Income Statement Projections'!BG18/'Data Entry'!$D$88)*('Data Entry'!$D$87*2080/12)</f>
        <v>2457</v>
      </c>
      <c r="BH62" s="146">
        <f>('Income Statement Projections'!BH18/'Data Entry'!$D$88)*('Data Entry'!$D$87*2080/12)</f>
        <v>2476.5000000000005</v>
      </c>
      <c r="BI62" s="146">
        <f>('Income Statement Projections'!BI18/'Data Entry'!$D$88)*('Data Entry'!$D$87*2080/12)</f>
        <v>2496</v>
      </c>
      <c r="BJ62" s="146"/>
      <c r="BK62" s="128">
        <f>SUM(B62:M62)</f>
        <v>7722</v>
      </c>
      <c r="BL62" s="147">
        <f t="shared" ref="BL62:BL64" si="306">SUM(N62:Y62)</f>
        <v>13338</v>
      </c>
      <c r="BM62" s="147">
        <f t="shared" ref="BM62:BM64" si="307">SUM(Z62:AK62)</f>
        <v>18954</v>
      </c>
      <c r="BN62" s="147">
        <f t="shared" ref="BN62:BN64" si="308">SUM(AL62:AW62)</f>
        <v>24570</v>
      </c>
      <c r="BO62" s="147">
        <f t="shared" ref="BO62:BO64" si="309">SUM(AX62:BI62)</f>
        <v>28665</v>
      </c>
      <c r="BP62" s="146"/>
      <c r="BQ62" s="397">
        <f t="shared" si="186"/>
        <v>2.0015396458814474E-2</v>
      </c>
      <c r="BR62" s="393">
        <f t="shared" si="187"/>
        <v>2.0015396458814474E-2</v>
      </c>
      <c r="BS62" s="393">
        <f t="shared" si="188"/>
        <v>2.0015396458814474E-2</v>
      </c>
      <c r="BT62" s="393">
        <f t="shared" si="189"/>
        <v>2.0015396458814474E-2</v>
      </c>
      <c r="BU62" s="393">
        <f t="shared" si="190"/>
        <v>2.0015396458814474E-2</v>
      </c>
    </row>
    <row r="63" spans="1:79">
      <c r="A63" s="133" t="s">
        <v>297</v>
      </c>
      <c r="B63" s="146">
        <f>IF('Data Entry'!$A$93=TRUE,'Data Entry'!$D$92*2*'Data Entry'!$D$80,0)</f>
        <v>144.51091453200118</v>
      </c>
      <c r="C63" s="146">
        <f>IF('Data Entry'!$A$93=TRUE,'Data Entry'!$D$92*2*'Data Entry'!$D$80,0)</f>
        <v>144.51091453200118</v>
      </c>
      <c r="D63" s="146">
        <f>IF('Data Entry'!$A$93=TRUE,'Data Entry'!$D$92*2*'Data Entry'!$D$80,0)</f>
        <v>144.51091453200118</v>
      </c>
      <c r="E63" s="146">
        <f>IF('Data Entry'!$A$93=TRUE,'Data Entry'!$D$92*2*'Data Entry'!$D$80,0)</f>
        <v>144.51091453200118</v>
      </c>
      <c r="F63" s="146">
        <f>IF('Data Entry'!$A$93=TRUE,'Data Entry'!$D$92*2*'Data Entry'!$D$80,0)</f>
        <v>144.51091453200118</v>
      </c>
      <c r="G63" s="146">
        <f>IF('Data Entry'!$A$93=TRUE,'Data Entry'!$D$92*2*'Data Entry'!$D$80,0)</f>
        <v>144.51091453200118</v>
      </c>
      <c r="H63" s="146">
        <f>IF('Data Entry'!$A$93=TRUE,'Data Entry'!$D$92*2*'Data Entry'!$D$80,0)</f>
        <v>144.51091453200118</v>
      </c>
      <c r="I63" s="146">
        <f>IF('Data Entry'!$A$93=TRUE,'Data Entry'!$D$92*2*'Data Entry'!$D$80,0)</f>
        <v>144.51091453200118</v>
      </c>
      <c r="J63" s="146">
        <f>IF('Data Entry'!$A$93=TRUE,'Data Entry'!$D$92*2*'Data Entry'!$D$80,0)</f>
        <v>144.51091453200118</v>
      </c>
      <c r="K63" s="146">
        <f>IF('Data Entry'!$A$93=TRUE,'Data Entry'!$D$92*2*'Data Entry'!$D$80,0)</f>
        <v>144.51091453200118</v>
      </c>
      <c r="L63" s="146">
        <f>IF('Data Entry'!$A$93=TRUE,'Data Entry'!$D$92*2*'Data Entry'!$D$80,0)</f>
        <v>144.51091453200118</v>
      </c>
      <c r="M63" s="146">
        <f>IF('Data Entry'!$A$93=TRUE,'Data Entry'!$D$92*2*'Data Entry'!$D$80,0)</f>
        <v>144.51091453200118</v>
      </c>
      <c r="N63" s="146">
        <f>IF('Data Entry'!$A$93=TRUE,'Data Entry'!$D$92*2*'Data Entry'!$D$80,0)</f>
        <v>144.51091453200118</v>
      </c>
      <c r="O63" s="146">
        <f>IF('Data Entry'!$A$93=TRUE,'Data Entry'!$D$92*2*'Data Entry'!$D$80,0)</f>
        <v>144.51091453200118</v>
      </c>
      <c r="P63" s="146">
        <f>IF('Data Entry'!$A$93=TRUE,'Data Entry'!$D$92*2*'Data Entry'!$D$80,0)</f>
        <v>144.51091453200118</v>
      </c>
      <c r="Q63" s="146">
        <f>IF('Data Entry'!$A$93=TRUE,'Data Entry'!$D$92*2*'Data Entry'!$D$80,0)</f>
        <v>144.51091453200118</v>
      </c>
      <c r="R63" s="146">
        <f>IF('Data Entry'!$A$93=TRUE,'Data Entry'!$D$92*2*'Data Entry'!$D$80,0)</f>
        <v>144.51091453200118</v>
      </c>
      <c r="S63" s="146">
        <f>IF('Data Entry'!$A$93=TRUE,'Data Entry'!$D$92*2*'Data Entry'!$D$80,0)</f>
        <v>144.51091453200118</v>
      </c>
      <c r="T63" s="146">
        <f>IF('Data Entry'!$A$93=TRUE,'Data Entry'!$D$92*2*'Data Entry'!$D$80,0)</f>
        <v>144.51091453200118</v>
      </c>
      <c r="U63" s="146">
        <f>IF('Data Entry'!$A$93=TRUE,'Data Entry'!$D$92*2*'Data Entry'!$D$80,0)</f>
        <v>144.51091453200118</v>
      </c>
      <c r="V63" s="146">
        <f>IF('Data Entry'!$A$93=TRUE,'Data Entry'!$D$92*2*'Data Entry'!$D$80,0)</f>
        <v>144.51091453200118</v>
      </c>
      <c r="W63" s="146">
        <f>IF('Data Entry'!$A$93=TRUE,'Data Entry'!$D$92*2*'Data Entry'!$D$80,0)</f>
        <v>144.51091453200118</v>
      </c>
      <c r="X63" s="146">
        <f>IF('Data Entry'!$A$93=TRUE,'Data Entry'!$D$92*2*'Data Entry'!$D$80,0)</f>
        <v>144.51091453200118</v>
      </c>
      <c r="Y63" s="146">
        <f>IF('Data Entry'!$A$93=TRUE,'Data Entry'!$D$92*2*'Data Entry'!$D$80,0)</f>
        <v>144.51091453200118</v>
      </c>
      <c r="Z63" s="146">
        <f>IF('Data Entry'!$A$93=TRUE,'Data Entry'!$D$92*2*'Data Entry'!$D$80,0)</f>
        <v>144.51091453200118</v>
      </c>
      <c r="AA63" s="146">
        <f>IF('Data Entry'!$A$93=TRUE,'Data Entry'!$D$92*2*'Data Entry'!$D$80,0)</f>
        <v>144.51091453200118</v>
      </c>
      <c r="AB63" s="146">
        <f>IF('Data Entry'!$A$93=TRUE,'Data Entry'!$D$92*2*'Data Entry'!$D$80,0)</f>
        <v>144.51091453200118</v>
      </c>
      <c r="AC63" s="146">
        <f>IF('Data Entry'!$A$93=TRUE,'Data Entry'!$D$92*2*'Data Entry'!$D$80,0)</f>
        <v>144.51091453200118</v>
      </c>
      <c r="AD63" s="146">
        <f>IF('Data Entry'!$A$93=TRUE,'Data Entry'!$D$92*2*'Data Entry'!$D$80,0)</f>
        <v>144.51091453200118</v>
      </c>
      <c r="AE63" s="146">
        <f>IF('Data Entry'!$A$93=TRUE,'Data Entry'!$D$92*2*'Data Entry'!$D$80,0)</f>
        <v>144.51091453200118</v>
      </c>
      <c r="AF63" s="146">
        <f>IF('Data Entry'!$A$93=TRUE,'Data Entry'!$D$92*2*'Data Entry'!$D$80,0)</f>
        <v>144.51091453200118</v>
      </c>
      <c r="AG63" s="146">
        <f>IF('Data Entry'!$A$93=TRUE,'Data Entry'!$D$92*2*'Data Entry'!$D$80,0)</f>
        <v>144.51091453200118</v>
      </c>
      <c r="AH63" s="146">
        <f>IF('Data Entry'!$A$93=TRUE,'Data Entry'!$D$92*2*'Data Entry'!$D$80,0)</f>
        <v>144.51091453200118</v>
      </c>
      <c r="AI63" s="146">
        <f>IF('Data Entry'!$A$93=TRUE,'Data Entry'!$D$92*2*'Data Entry'!$D$80,0)</f>
        <v>144.51091453200118</v>
      </c>
      <c r="AJ63" s="146">
        <f>IF('Data Entry'!$A$93=TRUE,'Data Entry'!$D$92*2*'Data Entry'!$D$80,0)</f>
        <v>144.51091453200118</v>
      </c>
      <c r="AK63" s="146">
        <f>IF('Data Entry'!$A$93=TRUE,'Data Entry'!$D$92*2*'Data Entry'!$D$80,0)</f>
        <v>144.51091453200118</v>
      </c>
      <c r="AL63" s="146">
        <f>IF('Data Entry'!$A$93=TRUE,'Data Entry'!$D$92*2*'Data Entry'!$D$80,0)</f>
        <v>144.51091453200118</v>
      </c>
      <c r="AM63" s="146">
        <f>IF('Data Entry'!$A$93=TRUE,'Data Entry'!$D$92*2*'Data Entry'!$D$80,0)</f>
        <v>144.51091453200118</v>
      </c>
      <c r="AN63" s="146">
        <f>IF('Data Entry'!$A$93=TRUE,'Data Entry'!$D$92*2*'Data Entry'!$D$80,0)</f>
        <v>144.51091453200118</v>
      </c>
      <c r="AO63" s="146">
        <f>IF('Data Entry'!$A$93=TRUE,'Data Entry'!$D$92*2*'Data Entry'!$D$80,0)</f>
        <v>144.51091453200118</v>
      </c>
      <c r="AP63" s="146">
        <f>IF('Data Entry'!$A$93=TRUE,'Data Entry'!$D$92*2*'Data Entry'!$D$80,0)</f>
        <v>144.51091453200118</v>
      </c>
      <c r="AQ63" s="146">
        <f>IF('Data Entry'!$A$93=TRUE,'Data Entry'!$D$92*2*'Data Entry'!$D$80,0)</f>
        <v>144.51091453200118</v>
      </c>
      <c r="AR63" s="146">
        <f>IF('Data Entry'!$A$93=TRUE,'Data Entry'!$D$92*2*'Data Entry'!$D$80,0)</f>
        <v>144.51091453200118</v>
      </c>
      <c r="AS63" s="146">
        <f>IF('Data Entry'!$A$93=TRUE,'Data Entry'!$D$92*2*'Data Entry'!$D$80,0)</f>
        <v>144.51091453200118</v>
      </c>
      <c r="AT63" s="146">
        <f>IF('Data Entry'!$A$93=TRUE,'Data Entry'!$D$92*2*'Data Entry'!$D$80,0)</f>
        <v>144.51091453200118</v>
      </c>
      <c r="AU63" s="146">
        <f>IF('Data Entry'!$A$93=TRUE,'Data Entry'!$D$92*2*'Data Entry'!$D$80,0)</f>
        <v>144.51091453200118</v>
      </c>
      <c r="AV63" s="146">
        <f>IF('Data Entry'!$A$93=TRUE,'Data Entry'!$D$92*2*'Data Entry'!$D$80,0)</f>
        <v>144.51091453200118</v>
      </c>
      <c r="AW63" s="146">
        <f>IF('Data Entry'!$A$93=TRUE,'Data Entry'!$D$92*2*'Data Entry'!$D$80,0)</f>
        <v>144.51091453200118</v>
      </c>
      <c r="AX63" s="146">
        <f>IF('Data Entry'!$A$93=TRUE,'Data Entry'!$D$92*2*'Data Entry'!$D$80,0)</f>
        <v>144.51091453200118</v>
      </c>
      <c r="AY63" s="146">
        <f>IF('Data Entry'!$A$93=TRUE,'Data Entry'!$D$92*2*'Data Entry'!$D$80,0)</f>
        <v>144.51091453200118</v>
      </c>
      <c r="AZ63" s="146">
        <f>IF('Data Entry'!$A$93=TRUE,'Data Entry'!$D$92*2*'Data Entry'!$D$80,0)</f>
        <v>144.51091453200118</v>
      </c>
      <c r="BA63" s="146">
        <f>IF('Data Entry'!$A$93=TRUE,'Data Entry'!$D$92*2*'Data Entry'!$D$80,0)</f>
        <v>144.51091453200118</v>
      </c>
      <c r="BB63" s="146">
        <f>IF('Data Entry'!$A$93=TRUE,'Data Entry'!$D$92*2*'Data Entry'!$D$80,0)</f>
        <v>144.51091453200118</v>
      </c>
      <c r="BC63" s="146">
        <f>IF('Data Entry'!$A$93=TRUE,'Data Entry'!$D$92*2*'Data Entry'!$D$80,0)</f>
        <v>144.51091453200118</v>
      </c>
      <c r="BD63" s="146">
        <f>IF('Data Entry'!$A$93=TRUE,'Data Entry'!$D$92*2*'Data Entry'!$D$80,0)</f>
        <v>144.51091453200118</v>
      </c>
      <c r="BE63" s="146">
        <f>IF('Data Entry'!$A$93=TRUE,'Data Entry'!$D$92*2*'Data Entry'!$D$80,0)</f>
        <v>144.51091453200118</v>
      </c>
      <c r="BF63" s="146">
        <f>IF('Data Entry'!$A$93=TRUE,'Data Entry'!$D$92*2*'Data Entry'!$D$80,0)</f>
        <v>144.51091453200118</v>
      </c>
      <c r="BG63" s="146">
        <f>IF('Data Entry'!$A$93=TRUE,'Data Entry'!$D$92*2*'Data Entry'!$D$80,0)</f>
        <v>144.51091453200118</v>
      </c>
      <c r="BH63" s="146">
        <f>IF('Data Entry'!$A$93=TRUE,'Data Entry'!$D$92*2*'Data Entry'!$D$80,0)</f>
        <v>144.51091453200118</v>
      </c>
      <c r="BI63" s="146">
        <f>IF('Data Entry'!$A$93=TRUE,'Data Entry'!$D$92*2*'Data Entry'!$D$80,0)</f>
        <v>144.51091453200118</v>
      </c>
      <c r="BJ63" s="146"/>
      <c r="BK63" s="128">
        <f>SUM(B63:M63)</f>
        <v>1734.1309743840141</v>
      </c>
      <c r="BL63" s="147">
        <f t="shared" si="306"/>
        <v>1734.1309743840141</v>
      </c>
      <c r="BM63" s="147">
        <f t="shared" si="307"/>
        <v>1734.1309743840141</v>
      </c>
      <c r="BN63" s="147">
        <f t="shared" si="308"/>
        <v>1734.1309743840141</v>
      </c>
      <c r="BO63" s="147">
        <f t="shared" si="309"/>
        <v>1734.1309743840141</v>
      </c>
      <c r="BP63" s="128"/>
      <c r="BQ63" s="397">
        <f t="shared" si="186"/>
        <v>4.4948613006742149E-3</v>
      </c>
      <c r="BR63" s="393">
        <f t="shared" si="187"/>
        <v>2.6022881214429663E-3</v>
      </c>
      <c r="BS63" s="393">
        <f t="shared" si="188"/>
        <v>1.831239789163569E-3</v>
      </c>
      <c r="BT63" s="393">
        <f t="shared" si="189"/>
        <v>1.4126706944976102E-3</v>
      </c>
      <c r="BU63" s="393">
        <f t="shared" si="190"/>
        <v>1.2108605952836659E-3</v>
      </c>
      <c r="BV63" s="161"/>
    </row>
    <row r="64" spans="1:79">
      <c r="A64" s="133" t="s">
        <v>459</v>
      </c>
      <c r="B64" s="146">
        <f>('Data Entry'!$D$59)*(B13+B9)</f>
        <v>0</v>
      </c>
      <c r="C64" s="146">
        <f>('Data Entry'!$D$59)*(C13+C9)</f>
        <v>0</v>
      </c>
      <c r="D64" s="146">
        <f>('Data Entry'!$D$59)*(D13+D9)</f>
        <v>0</v>
      </c>
      <c r="E64" s="146">
        <f>('Data Entry'!$D$59)*(E13+E9)</f>
        <v>0</v>
      </c>
      <c r="F64" s="146">
        <f>('Data Entry'!$D$59)*(F13+F9)</f>
        <v>0</v>
      </c>
      <c r="G64" s="146">
        <f>('Data Entry'!$D$59)*(G13+G9)</f>
        <v>0</v>
      </c>
      <c r="H64" s="146">
        <f>('Data Entry'!$D$59)*(H13+H9)</f>
        <v>0</v>
      </c>
      <c r="I64" s="146">
        <f>('Data Entry'!$D$59)*(I13+I9)</f>
        <v>0</v>
      </c>
      <c r="J64" s="146">
        <f>('Data Entry'!$D$59)*(J13+J9)</f>
        <v>0</v>
      </c>
      <c r="K64" s="146">
        <f>('Data Entry'!$D$59)*(K13+K9)</f>
        <v>0</v>
      </c>
      <c r="L64" s="146">
        <f>('Data Entry'!$D$59)*(L13+L9)</f>
        <v>0</v>
      </c>
      <c r="M64" s="146">
        <f>('Data Entry'!$D$59)*(M13+M9)</f>
        <v>0</v>
      </c>
      <c r="N64" s="146">
        <f>('Data Entry'!$D$59)*(N13+N9)</f>
        <v>0</v>
      </c>
      <c r="O64" s="146">
        <f>('Data Entry'!$D$59)*(O13+O9)</f>
        <v>0</v>
      </c>
      <c r="P64" s="146">
        <f>('Data Entry'!$D$59)*(P13+P9)</f>
        <v>0</v>
      </c>
      <c r="Q64" s="146">
        <f>('Data Entry'!$D$59)*(Q13+Q9)</f>
        <v>0</v>
      </c>
      <c r="R64" s="146">
        <f>('Data Entry'!$D$59)*(R13+R9)</f>
        <v>0</v>
      </c>
      <c r="S64" s="146">
        <f>('Data Entry'!$D$59)*(S13+S9)</f>
        <v>0</v>
      </c>
      <c r="T64" s="146">
        <f>('Data Entry'!$D$59)*(T13+T9)</f>
        <v>0</v>
      </c>
      <c r="U64" s="146">
        <f>('Data Entry'!$D$59)*(U13+U9)</f>
        <v>0</v>
      </c>
      <c r="V64" s="146">
        <f>('Data Entry'!$D$59)*(V13+V9)</f>
        <v>0</v>
      </c>
      <c r="W64" s="146">
        <f>('Data Entry'!$D$59)*(W13+W9)</f>
        <v>0</v>
      </c>
      <c r="X64" s="146">
        <f>('Data Entry'!$D$59)*(X13+X9)</f>
        <v>0</v>
      </c>
      <c r="Y64" s="146">
        <f>('Data Entry'!$D$59)*(Y13+Y9)</f>
        <v>0</v>
      </c>
      <c r="Z64" s="146">
        <f>('Data Entry'!$D$59)*(Z13+Z9)</f>
        <v>0</v>
      </c>
      <c r="AA64" s="146">
        <f>('Data Entry'!$D$59)*(AA13+AA9)</f>
        <v>0</v>
      </c>
      <c r="AB64" s="146">
        <f>('Data Entry'!$D$59)*(AB13+AB9)</f>
        <v>0</v>
      </c>
      <c r="AC64" s="146">
        <f>('Data Entry'!$D$59)*(AC13+AC9)</f>
        <v>0</v>
      </c>
      <c r="AD64" s="146">
        <f>('Data Entry'!$D$59)*(AD13+AD9)</f>
        <v>0</v>
      </c>
      <c r="AE64" s="146">
        <f>('Data Entry'!$D$59)*(AE13+AE9)</f>
        <v>0</v>
      </c>
      <c r="AF64" s="146">
        <f>('Data Entry'!$D$59)*(AF13+AF9)</f>
        <v>0</v>
      </c>
      <c r="AG64" s="146">
        <f>('Data Entry'!$D$59)*(AG13+AG9)</f>
        <v>0</v>
      </c>
      <c r="AH64" s="146">
        <f>('Data Entry'!$D$59)*(AH13+AH9)</f>
        <v>0</v>
      </c>
      <c r="AI64" s="146">
        <f>('Data Entry'!$D$59)*(AI13+AI9)</f>
        <v>0</v>
      </c>
      <c r="AJ64" s="146">
        <f>('Data Entry'!$D$59)*(AJ13+AJ9)</f>
        <v>0</v>
      </c>
      <c r="AK64" s="146">
        <f>('Data Entry'!$D$59)*(AK13+AK9)</f>
        <v>0</v>
      </c>
      <c r="AL64" s="146">
        <f>('Data Entry'!$D$59)*(AL13+AL9)</f>
        <v>0</v>
      </c>
      <c r="AM64" s="146">
        <f>('Data Entry'!$D$59)*(AM13+AM9)</f>
        <v>0</v>
      </c>
      <c r="AN64" s="146">
        <f>('Data Entry'!$D$59)*(AN13+AN9)</f>
        <v>0</v>
      </c>
      <c r="AO64" s="146">
        <f>('Data Entry'!$D$59)*(AO13+AO9)</f>
        <v>0</v>
      </c>
      <c r="AP64" s="146">
        <f>('Data Entry'!$D$59)*(AP13+AP9)</f>
        <v>0</v>
      </c>
      <c r="AQ64" s="146">
        <f>('Data Entry'!$D$59)*(AQ13+AQ9)</f>
        <v>0</v>
      </c>
      <c r="AR64" s="146">
        <f>('Data Entry'!$D$59)*(AR13+AR9)</f>
        <v>0</v>
      </c>
      <c r="AS64" s="146">
        <f>('Data Entry'!$D$59)*(AS13+AS9)</f>
        <v>0</v>
      </c>
      <c r="AT64" s="146">
        <f>('Data Entry'!$D$59)*(AT13+AT9)</f>
        <v>0</v>
      </c>
      <c r="AU64" s="146">
        <f>('Data Entry'!$D$59)*(AU13+AU9)</f>
        <v>0</v>
      </c>
      <c r="AV64" s="146">
        <f>('Data Entry'!$D$59)*(AV13+AV9)</f>
        <v>0</v>
      </c>
      <c r="AW64" s="146">
        <f>('Data Entry'!$D$59)*(AW13+AW9)</f>
        <v>0</v>
      </c>
      <c r="AX64" s="146">
        <f>('Data Entry'!$D$59)*(AX13+AX9)</f>
        <v>0</v>
      </c>
      <c r="AY64" s="146">
        <f>('Data Entry'!$D$59)*(AY13+AY9)</f>
        <v>0</v>
      </c>
      <c r="AZ64" s="146">
        <f>('Data Entry'!$D$59)*(AZ13+AZ9)</f>
        <v>0</v>
      </c>
      <c r="BA64" s="146">
        <f>('Data Entry'!$D$59)*(BA13+BA9)</f>
        <v>0</v>
      </c>
      <c r="BB64" s="146">
        <f>('Data Entry'!$D$59)*(BB13+BB9)</f>
        <v>0</v>
      </c>
      <c r="BC64" s="146">
        <f>('Data Entry'!$D$59)*(BC13+BC9)</f>
        <v>0</v>
      </c>
      <c r="BD64" s="146">
        <f>('Data Entry'!$D$59)*(BD13+BD9)</f>
        <v>0</v>
      </c>
      <c r="BE64" s="146">
        <f>('Data Entry'!$D$59)*(BE13+BE9)</f>
        <v>0</v>
      </c>
      <c r="BF64" s="146">
        <f>('Data Entry'!$D$59)*(BF13+BF9)</f>
        <v>0</v>
      </c>
      <c r="BG64" s="146">
        <f>('Data Entry'!$D$59)*(BG13+BG9)</f>
        <v>0</v>
      </c>
      <c r="BH64" s="146">
        <f>('Data Entry'!$D$59)*(BH13+BH9)</f>
        <v>0</v>
      </c>
      <c r="BI64" s="146">
        <f>('Data Entry'!$D$59)*(BI13+BI9)</f>
        <v>0</v>
      </c>
      <c r="BJ64" s="146"/>
      <c r="BK64" s="128">
        <f>SUM(B64:M64)</f>
        <v>0</v>
      </c>
      <c r="BL64" s="147">
        <f t="shared" si="306"/>
        <v>0</v>
      </c>
      <c r="BM64" s="147">
        <f t="shared" si="307"/>
        <v>0</v>
      </c>
      <c r="BN64" s="147">
        <f t="shared" si="308"/>
        <v>0</v>
      </c>
      <c r="BO64" s="147">
        <f t="shared" si="309"/>
        <v>0</v>
      </c>
      <c r="BP64" s="146"/>
      <c r="BQ64" s="397">
        <f t="shared" si="186"/>
        <v>0</v>
      </c>
      <c r="BR64" s="393">
        <f t="shared" si="187"/>
        <v>0</v>
      </c>
      <c r="BS64" s="393">
        <f t="shared" si="188"/>
        <v>0</v>
      </c>
      <c r="BT64" s="393">
        <f t="shared" si="189"/>
        <v>0</v>
      </c>
      <c r="BU64" s="393">
        <f t="shared" si="190"/>
        <v>0</v>
      </c>
      <c r="BV64" s="330"/>
    </row>
    <row r="65" spans="1:73">
      <c r="A65" s="280" t="s">
        <v>315</v>
      </c>
      <c r="B65" s="270">
        <f>SUM(B62:B64)</f>
        <v>573.51091453200115</v>
      </c>
      <c r="C65" s="270">
        <f t="shared" ref="C65:BI65" si="310">SUM(C62:C64)</f>
        <v>612.51091453200127</v>
      </c>
      <c r="D65" s="270">
        <f t="shared" si="310"/>
        <v>651.51091453200115</v>
      </c>
      <c r="E65" s="270">
        <f t="shared" si="310"/>
        <v>690.51091453200115</v>
      </c>
      <c r="F65" s="270">
        <f t="shared" si="310"/>
        <v>729.51091453200127</v>
      </c>
      <c r="G65" s="270">
        <f t="shared" si="310"/>
        <v>768.51091453200115</v>
      </c>
      <c r="H65" s="270">
        <f t="shared" si="310"/>
        <v>807.51091453200115</v>
      </c>
      <c r="I65" s="270">
        <f t="shared" si="310"/>
        <v>846.51091453200115</v>
      </c>
      <c r="J65" s="270">
        <f t="shared" si="310"/>
        <v>885.51091453200104</v>
      </c>
      <c r="K65" s="270">
        <f t="shared" si="310"/>
        <v>924.51091453200115</v>
      </c>
      <c r="L65" s="270">
        <f t="shared" si="310"/>
        <v>963.51091453200115</v>
      </c>
      <c r="M65" s="270">
        <f t="shared" si="310"/>
        <v>1002.5109145320012</v>
      </c>
      <c r="N65" s="270">
        <f t="shared" si="310"/>
        <v>1041.5109145320014</v>
      </c>
      <c r="O65" s="270">
        <f t="shared" si="310"/>
        <v>1080.5109145320014</v>
      </c>
      <c r="P65" s="270">
        <f t="shared" si="310"/>
        <v>1119.5109145320012</v>
      </c>
      <c r="Q65" s="270">
        <f t="shared" si="310"/>
        <v>1158.5109145320012</v>
      </c>
      <c r="R65" s="270">
        <f t="shared" si="310"/>
        <v>1197.5109145320012</v>
      </c>
      <c r="S65" s="270">
        <f t="shared" si="310"/>
        <v>1236.5109145320012</v>
      </c>
      <c r="T65" s="270">
        <f t="shared" si="310"/>
        <v>1275.5109145320012</v>
      </c>
      <c r="U65" s="270">
        <f t="shared" si="310"/>
        <v>1314.5109145320014</v>
      </c>
      <c r="V65" s="270">
        <f t="shared" si="310"/>
        <v>1353.5109145320014</v>
      </c>
      <c r="W65" s="270">
        <f t="shared" si="310"/>
        <v>1392.5109145320012</v>
      </c>
      <c r="X65" s="270">
        <f t="shared" si="310"/>
        <v>1431.5109145320012</v>
      </c>
      <c r="Y65" s="270">
        <f t="shared" si="310"/>
        <v>1470.5109145320012</v>
      </c>
      <c r="Z65" s="270">
        <f t="shared" si="310"/>
        <v>1509.5109145320012</v>
      </c>
      <c r="AA65" s="270">
        <f t="shared" si="310"/>
        <v>1548.5109145320012</v>
      </c>
      <c r="AB65" s="270">
        <f t="shared" si="310"/>
        <v>1587.5109145320014</v>
      </c>
      <c r="AC65" s="270">
        <f t="shared" si="310"/>
        <v>1626.5109145320009</v>
      </c>
      <c r="AD65" s="270">
        <f t="shared" si="310"/>
        <v>1665.5109145320014</v>
      </c>
      <c r="AE65" s="270">
        <f t="shared" si="310"/>
        <v>1704.5109145320012</v>
      </c>
      <c r="AF65" s="270">
        <f t="shared" si="310"/>
        <v>1743.5109145320014</v>
      </c>
      <c r="AG65" s="270">
        <f t="shared" si="310"/>
        <v>1782.5109145320012</v>
      </c>
      <c r="AH65" s="270">
        <f t="shared" si="310"/>
        <v>1821.5109145320012</v>
      </c>
      <c r="AI65" s="270">
        <f t="shared" si="310"/>
        <v>1860.5109145320012</v>
      </c>
      <c r="AJ65" s="270">
        <f t="shared" si="310"/>
        <v>1899.5109145320014</v>
      </c>
      <c r="AK65" s="270">
        <f t="shared" si="310"/>
        <v>1938.5109145320016</v>
      </c>
      <c r="AL65" s="270">
        <f t="shared" si="310"/>
        <v>1977.5109145320012</v>
      </c>
      <c r="AM65" s="270">
        <f t="shared" si="310"/>
        <v>2016.5109145320016</v>
      </c>
      <c r="AN65" s="270">
        <f t="shared" si="310"/>
        <v>2055.5109145320012</v>
      </c>
      <c r="AO65" s="270">
        <f t="shared" si="310"/>
        <v>2094.5109145320012</v>
      </c>
      <c r="AP65" s="270">
        <f t="shared" si="310"/>
        <v>2133.5109145320012</v>
      </c>
      <c r="AQ65" s="270">
        <f t="shared" si="310"/>
        <v>2172.5109145320012</v>
      </c>
      <c r="AR65" s="270">
        <f t="shared" si="310"/>
        <v>2211.5109145320016</v>
      </c>
      <c r="AS65" s="270">
        <f t="shared" si="310"/>
        <v>2250.5109145320012</v>
      </c>
      <c r="AT65" s="270">
        <f t="shared" si="310"/>
        <v>2289.5109145320016</v>
      </c>
      <c r="AU65" s="270">
        <f t="shared" si="310"/>
        <v>2328.5109145320012</v>
      </c>
      <c r="AV65" s="270">
        <f t="shared" si="310"/>
        <v>2367.5109145320012</v>
      </c>
      <c r="AW65" s="270">
        <f t="shared" si="310"/>
        <v>2406.5109145320012</v>
      </c>
      <c r="AX65" s="270">
        <f t="shared" si="310"/>
        <v>2426.0109145320016</v>
      </c>
      <c r="AY65" s="270">
        <f t="shared" si="310"/>
        <v>2445.5109145320012</v>
      </c>
      <c r="AZ65" s="270">
        <f t="shared" si="310"/>
        <v>2465.0109145320012</v>
      </c>
      <c r="BA65" s="270">
        <f t="shared" si="310"/>
        <v>2484.5109145320016</v>
      </c>
      <c r="BB65" s="270">
        <f t="shared" si="310"/>
        <v>2504.0109145320012</v>
      </c>
      <c r="BC65" s="270">
        <f t="shared" si="310"/>
        <v>2523.5109145320012</v>
      </c>
      <c r="BD65" s="270">
        <f t="shared" si="310"/>
        <v>2543.0109145320012</v>
      </c>
      <c r="BE65" s="270">
        <f t="shared" si="310"/>
        <v>2562.5109145320016</v>
      </c>
      <c r="BF65" s="270">
        <f t="shared" si="310"/>
        <v>2582.0109145320012</v>
      </c>
      <c r="BG65" s="270">
        <f t="shared" si="310"/>
        <v>2601.5109145320012</v>
      </c>
      <c r="BH65" s="270">
        <f t="shared" si="310"/>
        <v>2621.0109145320016</v>
      </c>
      <c r="BI65" s="270">
        <f t="shared" si="310"/>
        <v>2640.5109145320012</v>
      </c>
      <c r="BJ65" s="270"/>
      <c r="BK65" s="127">
        <f>SUM(B65:M65)</f>
        <v>9456.1309743840138</v>
      </c>
      <c r="BL65" s="147">
        <f t="shared" ref="BL65" si="311">SUM(N65:Y65)</f>
        <v>15072.130974384017</v>
      </c>
      <c r="BM65" s="147">
        <f t="shared" ref="BM65" si="312">SUM(Z65:AK65)</f>
        <v>20688.130974384017</v>
      </c>
      <c r="BN65" s="147">
        <f t="shared" ref="BN65" si="313">SUM(AL65:AW65)</f>
        <v>26304.130974384021</v>
      </c>
      <c r="BO65" s="147">
        <f t="shared" ref="BO65" si="314">SUM(AX65:BI65)</f>
        <v>30399.130974384021</v>
      </c>
      <c r="BP65" s="146"/>
      <c r="BQ65" s="404">
        <f t="shared" si="186"/>
        <v>2.4510257759488688E-2</v>
      </c>
      <c r="BR65" s="393">
        <f t="shared" si="187"/>
        <v>2.2617684580257445E-2</v>
      </c>
      <c r="BS65" s="393">
        <f t="shared" si="188"/>
        <v>2.1846636247978047E-2</v>
      </c>
      <c r="BT65" s="393">
        <f t="shared" si="189"/>
        <v>2.1428067153312087E-2</v>
      </c>
      <c r="BU65" s="393">
        <f t="shared" si="190"/>
        <v>2.1226257054098144E-2</v>
      </c>
    </row>
    <row r="66" spans="1:73">
      <c r="A66" s="176"/>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46"/>
      <c r="BL66" s="146"/>
      <c r="BM66" s="146"/>
      <c r="BN66" s="146"/>
      <c r="BO66" s="146"/>
      <c r="BP66" s="146"/>
      <c r="BQ66" s="144"/>
      <c r="BR66" s="144"/>
      <c r="BS66" s="144"/>
      <c r="BT66" s="144"/>
      <c r="BU66" s="144"/>
    </row>
    <row r="67" spans="1:73">
      <c r="A67" s="148" t="s">
        <v>465</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0"/>
      <c r="BE67" s="180"/>
      <c r="BF67" s="180"/>
      <c r="BG67" s="180"/>
      <c r="BH67" s="180"/>
      <c r="BI67" s="180"/>
      <c r="BJ67" s="180"/>
      <c r="BK67" s="146"/>
      <c r="BL67" s="146"/>
      <c r="BM67" s="146"/>
      <c r="BN67" s="146"/>
      <c r="BO67" s="146"/>
      <c r="BP67" s="146"/>
      <c r="BQ67" s="144">
        <f t="shared" si="186"/>
        <v>0</v>
      </c>
      <c r="BR67" s="144">
        <f t="shared" si="187"/>
        <v>0</v>
      </c>
      <c r="BS67" s="144">
        <f t="shared" si="188"/>
        <v>0</v>
      </c>
      <c r="BT67" s="144">
        <f t="shared" si="189"/>
        <v>0</v>
      </c>
      <c r="BU67" s="144">
        <f t="shared" si="190"/>
        <v>0</v>
      </c>
    </row>
    <row r="68" spans="1:73">
      <c r="A68" s="267" t="s">
        <v>51</v>
      </c>
      <c r="B68" s="180" t="e">
        <f>B30*'Data Entry'!#REF!</f>
        <v>#REF!</v>
      </c>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28" t="e">
        <f t="shared" ref="BK68:BK74" si="315">SUM(B68:M68)</f>
        <v>#REF!</v>
      </c>
      <c r="BL68" s="147">
        <f t="shared" ref="BL68:BL74" si="316">SUM(N68:Y68)</f>
        <v>0</v>
      </c>
      <c r="BM68" s="147">
        <f t="shared" ref="BM68:BM74" si="317">SUM(Z68:AK68)</f>
        <v>0</v>
      </c>
      <c r="BN68" s="147">
        <f t="shared" ref="BN68:BN74" si="318">SUM(AL68:AW68)</f>
        <v>0</v>
      </c>
      <c r="BO68" s="147">
        <f t="shared" ref="BO68:BO74" si="319">SUM(AX68:BI68)</f>
        <v>0</v>
      </c>
      <c r="BP68" s="146"/>
      <c r="BQ68" s="397" t="e">
        <f t="shared" si="186"/>
        <v>#REF!</v>
      </c>
      <c r="BR68" s="393">
        <f t="shared" si="187"/>
        <v>0</v>
      </c>
      <c r="BS68" s="393">
        <f t="shared" si="188"/>
        <v>0</v>
      </c>
      <c r="BT68" s="393">
        <f t="shared" si="189"/>
        <v>0</v>
      </c>
      <c r="BU68" s="393">
        <f t="shared" si="190"/>
        <v>0</v>
      </c>
    </row>
    <row r="69" spans="1:73">
      <c r="A69" s="260" t="s">
        <v>66</v>
      </c>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28">
        <f t="shared" si="315"/>
        <v>0</v>
      </c>
      <c r="BL69" s="147">
        <f t="shared" si="316"/>
        <v>0</v>
      </c>
      <c r="BM69" s="147">
        <f t="shared" si="317"/>
        <v>0</v>
      </c>
      <c r="BN69" s="147">
        <f t="shared" si="318"/>
        <v>0</v>
      </c>
      <c r="BO69" s="147">
        <f t="shared" si="319"/>
        <v>0</v>
      </c>
      <c r="BP69" s="146"/>
      <c r="BQ69" s="397">
        <f t="shared" si="186"/>
        <v>0</v>
      </c>
      <c r="BR69" s="393">
        <f t="shared" si="187"/>
        <v>0</v>
      </c>
      <c r="BS69" s="393">
        <f t="shared" si="188"/>
        <v>0</v>
      </c>
      <c r="BT69" s="393">
        <f t="shared" si="189"/>
        <v>0</v>
      </c>
      <c r="BU69" s="393">
        <f t="shared" si="190"/>
        <v>0</v>
      </c>
    </row>
    <row r="70" spans="1:73">
      <c r="A70" s="260" t="s">
        <v>52</v>
      </c>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28">
        <f t="shared" si="315"/>
        <v>0</v>
      </c>
      <c r="BL70" s="147">
        <f t="shared" si="316"/>
        <v>0</v>
      </c>
      <c r="BM70" s="147">
        <f t="shared" si="317"/>
        <v>0</v>
      </c>
      <c r="BN70" s="147">
        <f t="shared" si="318"/>
        <v>0</v>
      </c>
      <c r="BO70" s="147">
        <f t="shared" si="319"/>
        <v>0</v>
      </c>
      <c r="BP70" s="146"/>
      <c r="BQ70" s="397">
        <f t="shared" si="186"/>
        <v>0</v>
      </c>
      <c r="BR70" s="393">
        <f t="shared" si="187"/>
        <v>0</v>
      </c>
      <c r="BS70" s="393">
        <f t="shared" si="188"/>
        <v>0</v>
      </c>
      <c r="BT70" s="393">
        <f t="shared" si="189"/>
        <v>0</v>
      </c>
      <c r="BU70" s="393">
        <f t="shared" si="190"/>
        <v>0</v>
      </c>
    </row>
    <row r="71" spans="1:73">
      <c r="A71" s="260" t="s">
        <v>53</v>
      </c>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180"/>
      <c r="BK71" s="128">
        <f t="shared" si="315"/>
        <v>0</v>
      </c>
      <c r="BL71" s="147">
        <f t="shared" si="316"/>
        <v>0</v>
      </c>
      <c r="BM71" s="147">
        <f t="shared" si="317"/>
        <v>0</v>
      </c>
      <c r="BN71" s="147">
        <f t="shared" si="318"/>
        <v>0</v>
      </c>
      <c r="BO71" s="147">
        <f t="shared" si="319"/>
        <v>0</v>
      </c>
      <c r="BP71" s="146"/>
      <c r="BQ71" s="397">
        <f t="shared" si="186"/>
        <v>0</v>
      </c>
      <c r="BR71" s="393">
        <f t="shared" si="187"/>
        <v>0</v>
      </c>
      <c r="BS71" s="393">
        <f t="shared" si="188"/>
        <v>0</v>
      </c>
      <c r="BT71" s="393">
        <f t="shared" si="189"/>
        <v>0</v>
      </c>
      <c r="BU71" s="393">
        <f t="shared" si="190"/>
        <v>0</v>
      </c>
    </row>
    <row r="72" spans="1:73">
      <c r="A72" s="260" t="s">
        <v>54</v>
      </c>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28">
        <f t="shared" si="315"/>
        <v>0</v>
      </c>
      <c r="BL72" s="147">
        <f t="shared" si="316"/>
        <v>0</v>
      </c>
      <c r="BM72" s="147">
        <f t="shared" si="317"/>
        <v>0</v>
      </c>
      <c r="BN72" s="147">
        <f t="shared" si="318"/>
        <v>0</v>
      </c>
      <c r="BO72" s="147">
        <f t="shared" si="319"/>
        <v>0</v>
      </c>
      <c r="BP72" s="146"/>
      <c r="BQ72" s="397">
        <f t="shared" si="186"/>
        <v>0</v>
      </c>
      <c r="BR72" s="393">
        <f t="shared" si="187"/>
        <v>0</v>
      </c>
      <c r="BS72" s="393">
        <f t="shared" si="188"/>
        <v>0</v>
      </c>
      <c r="BT72" s="393">
        <f t="shared" si="189"/>
        <v>0</v>
      </c>
      <c r="BU72" s="393">
        <f t="shared" si="190"/>
        <v>0</v>
      </c>
    </row>
    <row r="73" spans="1:73">
      <c r="A73" s="260" t="s">
        <v>75</v>
      </c>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180"/>
      <c r="BK73" s="128">
        <f t="shared" si="315"/>
        <v>0</v>
      </c>
      <c r="BL73" s="147">
        <f t="shared" si="316"/>
        <v>0</v>
      </c>
      <c r="BM73" s="147">
        <f t="shared" si="317"/>
        <v>0</v>
      </c>
      <c r="BN73" s="147">
        <f t="shared" si="318"/>
        <v>0</v>
      </c>
      <c r="BO73" s="147">
        <f t="shared" si="319"/>
        <v>0</v>
      </c>
      <c r="BP73" s="146"/>
      <c r="BQ73" s="397">
        <f t="shared" si="186"/>
        <v>0</v>
      </c>
      <c r="BR73" s="393">
        <f t="shared" si="187"/>
        <v>0</v>
      </c>
      <c r="BS73" s="393">
        <f t="shared" si="188"/>
        <v>0</v>
      </c>
      <c r="BT73" s="393">
        <f t="shared" si="189"/>
        <v>0</v>
      </c>
      <c r="BU73" s="393">
        <f t="shared" si="190"/>
        <v>0</v>
      </c>
    </row>
    <row r="74" spans="1:73">
      <c r="A74" s="260" t="s">
        <v>292</v>
      </c>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0"/>
      <c r="BF74" s="180"/>
      <c r="BG74" s="180"/>
      <c r="BH74" s="180"/>
      <c r="BI74" s="180"/>
      <c r="BJ74" s="180"/>
      <c r="BK74" s="128">
        <f t="shared" si="315"/>
        <v>0</v>
      </c>
      <c r="BL74" s="147">
        <f t="shared" si="316"/>
        <v>0</v>
      </c>
      <c r="BM74" s="147">
        <f t="shared" si="317"/>
        <v>0</v>
      </c>
      <c r="BN74" s="147">
        <f t="shared" si="318"/>
        <v>0</v>
      </c>
      <c r="BO74" s="147">
        <f t="shared" si="319"/>
        <v>0</v>
      </c>
      <c r="BP74" s="146"/>
      <c r="BQ74" s="397">
        <f t="shared" si="186"/>
        <v>0</v>
      </c>
      <c r="BR74" s="393">
        <f t="shared" si="187"/>
        <v>0</v>
      </c>
      <c r="BS74" s="393">
        <f t="shared" si="188"/>
        <v>0</v>
      </c>
      <c r="BT74" s="393">
        <f t="shared" si="189"/>
        <v>0</v>
      </c>
      <c r="BU74" s="393">
        <f t="shared" si="190"/>
        <v>0</v>
      </c>
    </row>
    <row r="75" spans="1:73">
      <c r="A75" s="176"/>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180"/>
      <c r="BK75" s="146"/>
      <c r="BL75" s="146"/>
      <c r="BM75" s="146"/>
      <c r="BN75" s="146"/>
      <c r="BO75" s="146"/>
      <c r="BP75" s="146"/>
      <c r="BQ75" s="144"/>
      <c r="BR75" s="144"/>
      <c r="BS75" s="144"/>
      <c r="BT75" s="144"/>
      <c r="BU75" s="144"/>
    </row>
    <row r="76" spans="1:73">
      <c r="A76" s="1" t="s">
        <v>320</v>
      </c>
    </row>
    <row r="77" spans="1:73">
      <c r="A77" s="260" t="s">
        <v>67</v>
      </c>
      <c r="B77" s="147">
        <f>'Data Entry'!$D$85/12</f>
        <v>7083.333333333333</v>
      </c>
      <c r="C77" s="147">
        <f>'Data Entry'!$D$85/12</f>
        <v>7083.333333333333</v>
      </c>
      <c r="D77" s="147">
        <f>'Data Entry'!$D$85/12</f>
        <v>7083.333333333333</v>
      </c>
      <c r="E77" s="147">
        <f>'Data Entry'!$D$85/12</f>
        <v>7083.333333333333</v>
      </c>
      <c r="F77" s="147">
        <f>'Data Entry'!$D$85/12</f>
        <v>7083.333333333333</v>
      </c>
      <c r="G77" s="147">
        <f>'Data Entry'!$D$85/12</f>
        <v>7083.333333333333</v>
      </c>
      <c r="H77" s="147">
        <f>'Data Entry'!$D$85/12</f>
        <v>7083.333333333333</v>
      </c>
      <c r="I77" s="147">
        <f>'Data Entry'!$D$85/12</f>
        <v>7083.333333333333</v>
      </c>
      <c r="J77" s="147">
        <f>'Data Entry'!$D$85/12</f>
        <v>7083.333333333333</v>
      </c>
      <c r="K77" s="147">
        <f>'Data Entry'!$D$85/12</f>
        <v>7083.333333333333</v>
      </c>
      <c r="L77" s="147">
        <f>'Data Entry'!$D$85/12</f>
        <v>7083.333333333333</v>
      </c>
      <c r="M77" s="147">
        <f>'Data Entry'!$D$85/12</f>
        <v>7083.333333333333</v>
      </c>
      <c r="N77" s="147">
        <f>'Data Entry'!$D$85/12</f>
        <v>7083.333333333333</v>
      </c>
      <c r="O77" s="147">
        <f>'Data Entry'!$D$85/12</f>
        <v>7083.333333333333</v>
      </c>
      <c r="P77" s="147">
        <f>'Data Entry'!$D$85/12</f>
        <v>7083.333333333333</v>
      </c>
      <c r="Q77" s="147">
        <f>'Data Entry'!$D$85/12</f>
        <v>7083.333333333333</v>
      </c>
      <c r="R77" s="147">
        <f>'Data Entry'!$D$85/12</f>
        <v>7083.333333333333</v>
      </c>
      <c r="S77" s="147">
        <f>'Data Entry'!$D$85/12</f>
        <v>7083.333333333333</v>
      </c>
      <c r="T77" s="147">
        <f>'Data Entry'!$D$85/12</f>
        <v>7083.333333333333</v>
      </c>
      <c r="U77" s="147">
        <f>'Data Entry'!$D$85/12</f>
        <v>7083.333333333333</v>
      </c>
      <c r="V77" s="147">
        <f>'Data Entry'!$D$85/12</f>
        <v>7083.333333333333</v>
      </c>
      <c r="W77" s="147">
        <f>'Data Entry'!$D$85/12</f>
        <v>7083.333333333333</v>
      </c>
      <c r="X77" s="147">
        <f>'Data Entry'!$D$85/12</f>
        <v>7083.333333333333</v>
      </c>
      <c r="Y77" s="147">
        <f>'Data Entry'!$D$85/12</f>
        <v>7083.333333333333</v>
      </c>
      <c r="Z77" s="147">
        <f>'Data Entry'!$D$85/12</f>
        <v>7083.333333333333</v>
      </c>
      <c r="AA77" s="147">
        <f>'Data Entry'!$D$85/12</f>
        <v>7083.333333333333</v>
      </c>
      <c r="AB77" s="147">
        <f>'Data Entry'!$D$85/12</f>
        <v>7083.333333333333</v>
      </c>
      <c r="AC77" s="147">
        <f>'Data Entry'!$D$85/12</f>
        <v>7083.333333333333</v>
      </c>
      <c r="AD77" s="147">
        <f>'Data Entry'!$D$85/12</f>
        <v>7083.333333333333</v>
      </c>
      <c r="AE77" s="147">
        <f>'Data Entry'!$D$85/12</f>
        <v>7083.333333333333</v>
      </c>
      <c r="AF77" s="147">
        <f>'Data Entry'!$D$85/12</f>
        <v>7083.333333333333</v>
      </c>
      <c r="AG77" s="147">
        <f>'Data Entry'!$D$85/12</f>
        <v>7083.333333333333</v>
      </c>
      <c r="AH77" s="147">
        <f>'Data Entry'!$D$85/12</f>
        <v>7083.333333333333</v>
      </c>
      <c r="AI77" s="147">
        <f>'Data Entry'!$D$85/12</f>
        <v>7083.333333333333</v>
      </c>
      <c r="AJ77" s="147">
        <f>'Data Entry'!$D$85/12</f>
        <v>7083.333333333333</v>
      </c>
      <c r="AK77" s="147">
        <f>'Data Entry'!$D$85/12</f>
        <v>7083.333333333333</v>
      </c>
      <c r="AL77" s="147">
        <f>'Data Entry'!$D$85/12</f>
        <v>7083.333333333333</v>
      </c>
      <c r="AM77" s="147">
        <f>'Data Entry'!$D$85/12</f>
        <v>7083.333333333333</v>
      </c>
      <c r="AN77" s="147">
        <f>'Data Entry'!$D$85/12</f>
        <v>7083.333333333333</v>
      </c>
      <c r="AO77" s="147">
        <f>'Data Entry'!$D$85/12</f>
        <v>7083.333333333333</v>
      </c>
      <c r="AP77" s="147">
        <f>'Data Entry'!$D$85/12</f>
        <v>7083.333333333333</v>
      </c>
      <c r="AQ77" s="147">
        <f>'Data Entry'!$D$85/12</f>
        <v>7083.333333333333</v>
      </c>
      <c r="AR77" s="147">
        <f>'Data Entry'!$D$85/12</f>
        <v>7083.333333333333</v>
      </c>
      <c r="AS77" s="147">
        <f>'Data Entry'!$D$85/12</f>
        <v>7083.333333333333</v>
      </c>
      <c r="AT77" s="147">
        <f>'Data Entry'!$D$85/12</f>
        <v>7083.333333333333</v>
      </c>
      <c r="AU77" s="147">
        <f>'Data Entry'!$D$85/12</f>
        <v>7083.333333333333</v>
      </c>
      <c r="AV77" s="147">
        <f>'Data Entry'!$D$85/12</f>
        <v>7083.333333333333</v>
      </c>
      <c r="AW77" s="147">
        <f>'Data Entry'!$D$85/12</f>
        <v>7083.333333333333</v>
      </c>
      <c r="AX77" s="147">
        <f>'Data Entry'!$D$85/12</f>
        <v>7083.333333333333</v>
      </c>
      <c r="AY77" s="147">
        <f>'Data Entry'!$D$85/12</f>
        <v>7083.333333333333</v>
      </c>
      <c r="AZ77" s="147">
        <f>'Data Entry'!$D$85/12</f>
        <v>7083.333333333333</v>
      </c>
      <c r="BA77" s="147">
        <f>'Data Entry'!$D$85/12</f>
        <v>7083.333333333333</v>
      </c>
      <c r="BB77" s="147">
        <f>'Data Entry'!$D$85/12</f>
        <v>7083.333333333333</v>
      </c>
      <c r="BC77" s="147">
        <f>'Data Entry'!$D$85/12</f>
        <v>7083.333333333333</v>
      </c>
      <c r="BD77" s="147">
        <f>'Data Entry'!$D$85/12</f>
        <v>7083.333333333333</v>
      </c>
      <c r="BE77" s="147">
        <f>'Data Entry'!$D$85/12</f>
        <v>7083.333333333333</v>
      </c>
      <c r="BF77" s="147">
        <f>'Data Entry'!$D$85/12</f>
        <v>7083.333333333333</v>
      </c>
      <c r="BG77" s="147">
        <f>'Data Entry'!$D$85/12</f>
        <v>7083.333333333333</v>
      </c>
      <c r="BH77" s="147">
        <f>'Data Entry'!$D$85/12</f>
        <v>7083.333333333333</v>
      </c>
      <c r="BI77" s="147">
        <f>'Data Entry'!$D$85/12</f>
        <v>7083.333333333333</v>
      </c>
      <c r="BJ77" s="147"/>
      <c r="BK77" s="282">
        <f>SUM(B77:M77)</f>
        <v>85000</v>
      </c>
      <c r="BL77" s="147">
        <f t="shared" ref="BL77:BL79" si="320">SUM(N77:Y77)</f>
        <v>85000</v>
      </c>
      <c r="BM77" s="147">
        <f t="shared" ref="BM77:BM79" si="321">SUM(Z77:AK77)</f>
        <v>85000</v>
      </c>
      <c r="BN77" s="147">
        <f t="shared" ref="BN77:BN79" si="322">SUM(AL77:AW77)</f>
        <v>85000</v>
      </c>
      <c r="BO77" s="147">
        <f t="shared" ref="BO77:BO79" si="323">SUM(AX77:BI77)</f>
        <v>85000</v>
      </c>
      <c r="BP77" s="256"/>
      <c r="BQ77" s="397">
        <f t="shared" si="186"/>
        <v>0.22031969684009714</v>
      </c>
      <c r="BR77" s="393">
        <f t="shared" si="187"/>
        <v>0.12755350869689835</v>
      </c>
      <c r="BS77" s="393">
        <f t="shared" si="188"/>
        <v>8.9759876490409951E-2</v>
      </c>
      <c r="BT77" s="393">
        <f t="shared" si="189"/>
        <v>6.9243333292601961E-2</v>
      </c>
      <c r="BU77" s="393">
        <f t="shared" si="190"/>
        <v>5.9351428536515968E-2</v>
      </c>
    </row>
    <row r="78" spans="1:73">
      <c r="A78" s="260" t="s">
        <v>68</v>
      </c>
      <c r="B78" s="147">
        <f>(B36*12/1000000)*'Data Entry'!$D$89*'Data Entry'!$D$86/12</f>
        <v>964.50750000000005</v>
      </c>
      <c r="C78" s="147">
        <f>(C36*12/1000000)*'Data Entry'!$D$89*'Data Entry'!$D$86/12</f>
        <v>1052.19</v>
      </c>
      <c r="D78" s="147">
        <f>(D36*12/1000000)*'Data Entry'!$D$89*'Data Entry'!$D$86/12</f>
        <v>1139.8725000000002</v>
      </c>
      <c r="E78" s="147">
        <f>(E36*12/1000000)*'Data Entry'!$D$89*'Data Entry'!$D$86/12</f>
        <v>1227.5549999999998</v>
      </c>
      <c r="F78" s="147">
        <f>(F36*12/1000000)*'Data Entry'!$D$89*'Data Entry'!$D$86/12</f>
        <v>1315.2375</v>
      </c>
      <c r="G78" s="147">
        <f>(G36*12/1000000)*'Data Entry'!$D$89*'Data Entry'!$D$86/12</f>
        <v>1402.92</v>
      </c>
      <c r="H78" s="147">
        <f>(H36*12/1000000)*'Data Entry'!$D$89*'Data Entry'!$D$86/12</f>
        <v>1490.6025</v>
      </c>
      <c r="I78" s="147">
        <f>(I36*12/1000000)*'Data Entry'!$D$89*'Data Entry'!$D$86/12</f>
        <v>1578.2849999999999</v>
      </c>
      <c r="J78" s="147">
        <f>(J36*12/1000000)*'Data Entry'!$D$89*'Data Entry'!$D$86/12</f>
        <v>1665.9675</v>
      </c>
      <c r="K78" s="147">
        <f>(K36*12/1000000)*'Data Entry'!$D$89*'Data Entry'!$D$86/12</f>
        <v>1753.6499999999999</v>
      </c>
      <c r="L78" s="147">
        <f>(L36*12/1000000)*'Data Entry'!$D$89*'Data Entry'!$D$86/12</f>
        <v>1841.3325000000002</v>
      </c>
      <c r="M78" s="147">
        <f>(M36*12/1000000)*'Data Entry'!$D$89*'Data Entry'!$D$86/12</f>
        <v>1929.0150000000001</v>
      </c>
      <c r="N78" s="147">
        <f>(N36*12/1000000)*'Data Entry'!$D$89*'Data Entry'!$D$86/12</f>
        <v>2016.6975</v>
      </c>
      <c r="O78" s="147">
        <f>(O36*12/1000000)*'Data Entry'!$D$89*'Data Entry'!$D$86/12</f>
        <v>2104.38</v>
      </c>
      <c r="P78" s="147">
        <f>(P36*12/1000000)*'Data Entry'!$D$89*'Data Entry'!$D$86/12</f>
        <v>2192.0625</v>
      </c>
      <c r="Q78" s="147">
        <f>(Q36*12/1000000)*'Data Entry'!$D$89*'Data Entry'!$D$86/12</f>
        <v>2279.7450000000003</v>
      </c>
      <c r="R78" s="147">
        <f>(R36*12/1000000)*'Data Entry'!$D$89*'Data Entry'!$D$86/12</f>
        <v>2367.4275000000002</v>
      </c>
      <c r="S78" s="147">
        <f>(S36*12/1000000)*'Data Entry'!$D$89*'Data Entry'!$D$86/12</f>
        <v>2455.1099999999997</v>
      </c>
      <c r="T78" s="147">
        <f>(T36*12/1000000)*'Data Entry'!$D$89*'Data Entry'!$D$86/12</f>
        <v>2542.7925</v>
      </c>
      <c r="U78" s="147">
        <f>(U36*12/1000000)*'Data Entry'!$D$89*'Data Entry'!$D$86/12</f>
        <v>2630.4749999999999</v>
      </c>
      <c r="V78" s="147">
        <f>(V36*12/1000000)*'Data Entry'!$D$89*'Data Entry'!$D$86/12</f>
        <v>2718.1574999999998</v>
      </c>
      <c r="W78" s="147">
        <f>(W36*12/1000000)*'Data Entry'!$D$89*'Data Entry'!$D$86/12</f>
        <v>2805.84</v>
      </c>
      <c r="X78" s="147">
        <f>(X36*12/1000000)*'Data Entry'!$D$89*'Data Entry'!$D$86/12</f>
        <v>2893.5225000000005</v>
      </c>
      <c r="Y78" s="147">
        <f>(Y36*12/1000000)*'Data Entry'!$D$89*'Data Entry'!$D$86/12</f>
        <v>2981.2049999999999</v>
      </c>
      <c r="Z78" s="147">
        <f>(Z36*12/1000000)*'Data Entry'!$D$89*'Data Entry'!$D$86/12</f>
        <v>3068.8875000000003</v>
      </c>
      <c r="AA78" s="147">
        <f>(AA36*12/1000000)*'Data Entry'!$D$89*'Data Entry'!$D$86/12</f>
        <v>3156.5699999999997</v>
      </c>
      <c r="AB78" s="147">
        <f>(AB36*12/1000000)*'Data Entry'!$D$89*'Data Entry'!$D$86/12</f>
        <v>3244.2525000000001</v>
      </c>
      <c r="AC78" s="147">
        <f>(AC36*12/1000000)*'Data Entry'!$D$89*'Data Entry'!$D$86/12</f>
        <v>3331.9349999999999</v>
      </c>
      <c r="AD78" s="147">
        <f>(AD36*12/1000000)*'Data Entry'!$D$89*'Data Entry'!$D$86/12</f>
        <v>3419.6174999999998</v>
      </c>
      <c r="AE78" s="147">
        <f>(AE36*12/1000000)*'Data Entry'!$D$89*'Data Entry'!$D$86/12</f>
        <v>3507.2999999999997</v>
      </c>
      <c r="AF78" s="147">
        <f>(AF36*12/1000000)*'Data Entry'!$D$89*'Data Entry'!$D$86/12</f>
        <v>3594.9825000000001</v>
      </c>
      <c r="AG78" s="147">
        <f>(AG36*12/1000000)*'Data Entry'!$D$89*'Data Entry'!$D$86/12</f>
        <v>3682.6650000000004</v>
      </c>
      <c r="AH78" s="147">
        <f>(AH36*12/1000000)*'Data Entry'!$D$89*'Data Entry'!$D$86/12</f>
        <v>3770.3474999999999</v>
      </c>
      <c r="AI78" s="147">
        <f>(AI36*12/1000000)*'Data Entry'!$D$89*'Data Entry'!$D$86/12</f>
        <v>3858.03</v>
      </c>
      <c r="AJ78" s="147">
        <f>(AJ36*12/1000000)*'Data Entry'!$D$89*'Data Entry'!$D$86/12</f>
        <v>3945.7124999999996</v>
      </c>
      <c r="AK78" s="147">
        <f>(AK36*12/1000000)*'Data Entry'!$D$89*'Data Entry'!$D$86/12</f>
        <v>4033.395</v>
      </c>
      <c r="AL78" s="147">
        <f>(AL36*12/1000000)*'Data Entry'!$D$89*'Data Entry'!$D$86/12</f>
        <v>4121.0775000000003</v>
      </c>
      <c r="AM78" s="147">
        <f>(AM36*12/1000000)*'Data Entry'!$D$89*'Data Entry'!$D$86/12</f>
        <v>4208.76</v>
      </c>
      <c r="AN78" s="147">
        <f>(AN36*12/1000000)*'Data Entry'!$D$89*'Data Entry'!$D$86/12</f>
        <v>4296.4425000000001</v>
      </c>
      <c r="AO78" s="147">
        <f>(AO36*12/1000000)*'Data Entry'!$D$89*'Data Entry'!$D$86/12</f>
        <v>4384.125</v>
      </c>
      <c r="AP78" s="147">
        <f>(AP36*12/1000000)*'Data Entry'!$D$89*'Data Entry'!$D$86/12</f>
        <v>4471.8074999999999</v>
      </c>
      <c r="AQ78" s="147">
        <f>(AQ36*12/1000000)*'Data Entry'!$D$89*'Data Entry'!$D$86/12</f>
        <v>4559.4900000000007</v>
      </c>
      <c r="AR78" s="147">
        <f>(AR36*12/1000000)*'Data Entry'!$D$89*'Data Entry'!$D$86/12</f>
        <v>4647.1724999999997</v>
      </c>
      <c r="AS78" s="147">
        <f>(AS36*12/1000000)*'Data Entry'!$D$89*'Data Entry'!$D$86/12</f>
        <v>4734.8550000000005</v>
      </c>
      <c r="AT78" s="147">
        <f>(AT36*12/1000000)*'Data Entry'!$D$89*'Data Entry'!$D$86/12</f>
        <v>4822.5375000000004</v>
      </c>
      <c r="AU78" s="147">
        <f>(AU36*12/1000000)*'Data Entry'!$D$89*'Data Entry'!$D$86/12</f>
        <v>4910.2199999999993</v>
      </c>
      <c r="AV78" s="147">
        <f>(AV36*12/1000000)*'Data Entry'!$D$89*'Data Entry'!$D$86/12</f>
        <v>4997.9024999999992</v>
      </c>
      <c r="AW78" s="147">
        <f>(AW36*12/1000000)*'Data Entry'!$D$89*'Data Entry'!$D$86/12</f>
        <v>5085.585</v>
      </c>
      <c r="AX78" s="147">
        <f>(AX36*12/1000000)*'Data Entry'!$D$89*'Data Entry'!$D$86/12</f>
        <v>5129.4262499999995</v>
      </c>
      <c r="AY78" s="147">
        <f>(AY36*12/1000000)*'Data Entry'!$D$89*'Data Entry'!$D$86/12</f>
        <v>5173.2674999999999</v>
      </c>
      <c r="AZ78" s="147">
        <f>(AZ36*12/1000000)*'Data Entry'!$D$89*'Data Entry'!$D$86/12</f>
        <v>5217.1087500000003</v>
      </c>
      <c r="BA78" s="147">
        <f>(BA36*12/1000000)*'Data Entry'!$D$89*'Data Entry'!$D$86/12</f>
        <v>5260.95</v>
      </c>
      <c r="BB78" s="147">
        <f>(BB36*12/1000000)*'Data Entry'!$D$89*'Data Entry'!$D$86/12</f>
        <v>5304.7912500000002</v>
      </c>
      <c r="BC78" s="147">
        <f>(BC36*12/1000000)*'Data Entry'!$D$89*'Data Entry'!$D$86/12</f>
        <v>5348.6324999999997</v>
      </c>
      <c r="BD78" s="147">
        <f>(BD36*12/1000000)*'Data Entry'!$D$89*'Data Entry'!$D$86/12</f>
        <v>5392.4737500000001</v>
      </c>
      <c r="BE78" s="147">
        <f>(BE36*12/1000000)*'Data Entry'!$D$89*'Data Entry'!$D$86/12</f>
        <v>5436.3149999999996</v>
      </c>
      <c r="BF78" s="147">
        <f>(BF36*12/1000000)*'Data Entry'!$D$89*'Data Entry'!$D$86/12</f>
        <v>5480.15625</v>
      </c>
      <c r="BG78" s="147">
        <f>(BG36*12/1000000)*'Data Entry'!$D$89*'Data Entry'!$D$86/12</f>
        <v>5523.9975000000004</v>
      </c>
      <c r="BH78" s="147">
        <f>(BH36*12/1000000)*'Data Entry'!$D$89*'Data Entry'!$D$86/12</f>
        <v>5567.8387499999999</v>
      </c>
      <c r="BI78" s="147">
        <f>(BI36*12/1000000)*'Data Entry'!$D$89*'Data Entry'!$D$86/12</f>
        <v>5611.68</v>
      </c>
      <c r="BJ78" s="147"/>
      <c r="BK78" s="282">
        <f>SUM(B78:M78)</f>
        <v>17361.135000000002</v>
      </c>
      <c r="BL78" s="147">
        <f t="shared" si="320"/>
        <v>29987.415000000001</v>
      </c>
      <c r="BM78" s="147">
        <f t="shared" si="321"/>
        <v>42613.695</v>
      </c>
      <c r="BN78" s="147">
        <f t="shared" si="322"/>
        <v>55239.974999999999</v>
      </c>
      <c r="BO78" s="147">
        <f t="shared" si="323"/>
        <v>64446.637499999997</v>
      </c>
      <c r="BP78" s="256"/>
      <c r="BQ78" s="397">
        <f t="shared" si="186"/>
        <v>4.5000000000000005E-2</v>
      </c>
      <c r="BR78" s="393">
        <f t="shared" si="187"/>
        <v>4.4999999999999998E-2</v>
      </c>
      <c r="BS78" s="393">
        <f t="shared" si="188"/>
        <v>4.4999999999999998E-2</v>
      </c>
      <c r="BT78" s="393">
        <f t="shared" si="189"/>
        <v>4.4999999999999998E-2</v>
      </c>
      <c r="BU78" s="393">
        <f t="shared" si="190"/>
        <v>4.4999999999999998E-2</v>
      </c>
    </row>
    <row r="79" spans="1:73">
      <c r="A79" s="129" t="s">
        <v>70</v>
      </c>
      <c r="B79" s="257">
        <f>SUM(B77:B78)</f>
        <v>8047.8408333333327</v>
      </c>
      <c r="C79" s="257">
        <f t="shared" ref="C79:M79" si="324">SUM(C77:C78)</f>
        <v>8135.5233333333326</v>
      </c>
      <c r="D79" s="257">
        <f t="shared" si="324"/>
        <v>8223.2058333333334</v>
      </c>
      <c r="E79" s="257">
        <f t="shared" si="324"/>
        <v>8310.8883333333324</v>
      </c>
      <c r="F79" s="257">
        <f t="shared" si="324"/>
        <v>8398.5708333333332</v>
      </c>
      <c r="G79" s="257">
        <f t="shared" si="324"/>
        <v>8486.253333333334</v>
      </c>
      <c r="H79" s="257">
        <f t="shared" si="324"/>
        <v>8573.935833333333</v>
      </c>
      <c r="I79" s="257">
        <f t="shared" si="324"/>
        <v>8661.618333333332</v>
      </c>
      <c r="J79" s="257">
        <f t="shared" si="324"/>
        <v>8749.3008333333328</v>
      </c>
      <c r="K79" s="257">
        <f t="shared" si="324"/>
        <v>8836.9833333333336</v>
      </c>
      <c r="L79" s="257">
        <f t="shared" si="324"/>
        <v>8924.6658333333326</v>
      </c>
      <c r="M79" s="257">
        <f t="shared" si="324"/>
        <v>9012.3483333333334</v>
      </c>
      <c r="N79" s="257">
        <f t="shared" ref="N79" si="325">SUM(N77:N78)</f>
        <v>9100.0308333333323</v>
      </c>
      <c r="O79" s="257">
        <f t="shared" ref="O79" si="326">SUM(O77:O78)</f>
        <v>9187.7133333333331</v>
      </c>
      <c r="P79" s="257">
        <f t="shared" ref="P79" si="327">SUM(P77:P78)</f>
        <v>9275.3958333333321</v>
      </c>
      <c r="Q79" s="257">
        <f t="shared" ref="Q79" si="328">SUM(Q77:Q78)</f>
        <v>9363.0783333333329</v>
      </c>
      <c r="R79" s="257">
        <f t="shared" ref="R79" si="329">SUM(R77:R78)</f>
        <v>9450.7608333333337</v>
      </c>
      <c r="S79" s="257">
        <f t="shared" ref="S79" si="330">SUM(S77:S78)</f>
        <v>9538.4433333333327</v>
      </c>
      <c r="T79" s="257">
        <f t="shared" ref="T79" si="331">SUM(T77:T78)</f>
        <v>9626.1258333333335</v>
      </c>
      <c r="U79" s="257">
        <f t="shared" ref="U79" si="332">SUM(U77:U78)</f>
        <v>9713.8083333333325</v>
      </c>
      <c r="V79" s="257">
        <f t="shared" ref="V79" si="333">SUM(V77:V78)</f>
        <v>9801.4908333333333</v>
      </c>
      <c r="W79" s="257">
        <f t="shared" ref="W79" si="334">SUM(W77:W78)</f>
        <v>9889.1733333333323</v>
      </c>
      <c r="X79" s="257">
        <f t="shared" ref="X79" si="335">SUM(X77:X78)</f>
        <v>9976.8558333333331</v>
      </c>
      <c r="Y79" s="257">
        <f t="shared" ref="Y79" si="336">SUM(Y77:Y78)</f>
        <v>10064.538333333334</v>
      </c>
      <c r="Z79" s="257">
        <f t="shared" ref="Z79" si="337">SUM(Z77:Z78)</f>
        <v>10152.220833333333</v>
      </c>
      <c r="AA79" s="257">
        <f t="shared" ref="AA79" si="338">SUM(AA77:AA78)</f>
        <v>10239.903333333332</v>
      </c>
      <c r="AB79" s="257">
        <f t="shared" ref="AB79" si="339">SUM(AB77:AB78)</f>
        <v>10327.585833333333</v>
      </c>
      <c r="AC79" s="257">
        <f t="shared" ref="AC79" si="340">SUM(AC77:AC78)</f>
        <v>10415.268333333333</v>
      </c>
      <c r="AD79" s="257">
        <f t="shared" ref="AD79" si="341">SUM(AD77:AD78)</f>
        <v>10502.950833333332</v>
      </c>
      <c r="AE79" s="257">
        <f t="shared" ref="AE79" si="342">SUM(AE77:AE78)</f>
        <v>10590.633333333333</v>
      </c>
      <c r="AF79" s="257">
        <f t="shared" ref="AF79" si="343">SUM(AF77:AF78)</f>
        <v>10678.315833333334</v>
      </c>
      <c r="AG79" s="257">
        <f t="shared" ref="AG79" si="344">SUM(AG77:AG78)</f>
        <v>10765.998333333333</v>
      </c>
      <c r="AH79" s="257">
        <f t="shared" ref="AH79" si="345">SUM(AH77:AH78)</f>
        <v>10853.680833333332</v>
      </c>
      <c r="AI79" s="257">
        <f t="shared" ref="AI79" si="346">SUM(AI77:AI78)</f>
        <v>10941.363333333333</v>
      </c>
      <c r="AJ79" s="257">
        <f t="shared" ref="AJ79" si="347">SUM(AJ77:AJ78)</f>
        <v>11029.045833333334</v>
      </c>
      <c r="AK79" s="257">
        <f t="shared" ref="AK79" si="348">SUM(AK77:AK78)</f>
        <v>11116.728333333333</v>
      </c>
      <c r="AL79" s="257">
        <f t="shared" ref="AL79" si="349">SUM(AL77:AL78)</f>
        <v>11204.410833333333</v>
      </c>
      <c r="AM79" s="257">
        <f t="shared" ref="AM79" si="350">SUM(AM77:AM78)</f>
        <v>11292.093333333334</v>
      </c>
      <c r="AN79" s="257">
        <f t="shared" ref="AN79" si="351">SUM(AN77:AN78)</f>
        <v>11379.775833333333</v>
      </c>
      <c r="AO79" s="257">
        <f t="shared" ref="AO79" si="352">SUM(AO77:AO78)</f>
        <v>11467.458333333332</v>
      </c>
      <c r="AP79" s="257">
        <f t="shared" ref="AP79" si="353">SUM(AP77:AP78)</f>
        <v>11555.140833333333</v>
      </c>
      <c r="AQ79" s="257">
        <f t="shared" ref="AQ79" si="354">SUM(AQ77:AQ78)</f>
        <v>11642.823333333334</v>
      </c>
      <c r="AR79" s="257">
        <f t="shared" ref="AR79" si="355">SUM(AR77:AR78)</f>
        <v>11730.505833333333</v>
      </c>
      <c r="AS79" s="257">
        <f t="shared" ref="AS79" si="356">SUM(AS77:AS78)</f>
        <v>11818.188333333334</v>
      </c>
      <c r="AT79" s="257">
        <f t="shared" ref="AT79" si="357">SUM(AT77:AT78)</f>
        <v>11905.870833333334</v>
      </c>
      <c r="AU79" s="257">
        <f t="shared" ref="AU79" si="358">SUM(AU77:AU78)</f>
        <v>11993.553333333333</v>
      </c>
      <c r="AV79" s="257">
        <f t="shared" ref="AV79" si="359">SUM(AV77:AV78)</f>
        <v>12081.235833333332</v>
      </c>
      <c r="AW79" s="257">
        <f t="shared" ref="AW79" si="360">SUM(AW77:AW78)</f>
        <v>12168.918333333333</v>
      </c>
      <c r="AX79" s="257">
        <f t="shared" ref="AX79" si="361">SUM(AX77:AX78)</f>
        <v>12212.759583333333</v>
      </c>
      <c r="AY79" s="257">
        <f t="shared" ref="AY79" si="362">SUM(AY77:AY78)</f>
        <v>12256.600833333334</v>
      </c>
      <c r="AZ79" s="257">
        <f t="shared" ref="AZ79" si="363">SUM(AZ77:AZ78)</f>
        <v>12300.442083333333</v>
      </c>
      <c r="BA79" s="257">
        <f t="shared" ref="BA79" si="364">SUM(BA77:BA78)</f>
        <v>12344.283333333333</v>
      </c>
      <c r="BB79" s="257">
        <f t="shared" ref="BB79" si="365">SUM(BB77:BB78)</f>
        <v>12388.124583333334</v>
      </c>
      <c r="BC79" s="257">
        <f t="shared" ref="BC79" si="366">SUM(BC77:BC78)</f>
        <v>12431.965833333332</v>
      </c>
      <c r="BD79" s="257">
        <f t="shared" ref="BD79" si="367">SUM(BD77:BD78)</f>
        <v>12475.807083333333</v>
      </c>
      <c r="BE79" s="257">
        <f t="shared" ref="BE79" si="368">SUM(BE77:BE78)</f>
        <v>12519.648333333333</v>
      </c>
      <c r="BF79" s="257">
        <f t="shared" ref="BF79" si="369">SUM(BF77:BF78)</f>
        <v>12563.489583333332</v>
      </c>
      <c r="BG79" s="257">
        <f t="shared" ref="BG79" si="370">SUM(BG77:BG78)</f>
        <v>12607.330833333333</v>
      </c>
      <c r="BH79" s="257">
        <f t="shared" ref="BH79" si="371">SUM(BH77:BH78)</f>
        <v>12651.172083333333</v>
      </c>
      <c r="BI79" s="257">
        <f t="shared" ref="BI79" si="372">SUM(BI77:BI78)</f>
        <v>12695.013333333332</v>
      </c>
      <c r="BJ79" s="257"/>
      <c r="BK79" s="284">
        <f>SUM(B79:M79)</f>
        <v>102361.13499999999</v>
      </c>
      <c r="BL79" s="257">
        <f t="shared" si="320"/>
        <v>114987.41500000001</v>
      </c>
      <c r="BM79" s="257">
        <f t="shared" si="321"/>
        <v>127613.69499999999</v>
      </c>
      <c r="BN79" s="257">
        <f t="shared" si="322"/>
        <v>140239.97499999998</v>
      </c>
      <c r="BO79" s="257">
        <f t="shared" si="323"/>
        <v>149446.63750000001</v>
      </c>
      <c r="BP79" s="256"/>
      <c r="BQ79" s="404">
        <f t="shared" si="186"/>
        <v>0.26531969684009715</v>
      </c>
      <c r="BR79" s="398">
        <f t="shared" si="187"/>
        <v>0.17255350869689837</v>
      </c>
      <c r="BS79" s="398">
        <f t="shared" si="188"/>
        <v>0.13475987649040994</v>
      </c>
      <c r="BT79" s="398">
        <f t="shared" si="189"/>
        <v>0.11424333329260195</v>
      </c>
      <c r="BU79" s="398">
        <f t="shared" si="190"/>
        <v>0.10435142853651598</v>
      </c>
    </row>
    <row r="80" spans="1:73">
      <c r="A80" s="71" t="s">
        <v>316</v>
      </c>
      <c r="B80" s="256"/>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c r="AN80" s="256"/>
      <c r="AO80" s="256"/>
      <c r="AP80" s="256"/>
      <c r="AQ80" s="256"/>
      <c r="AR80" s="256"/>
      <c r="AS80" s="256"/>
      <c r="AT80" s="256"/>
      <c r="AU80" s="256"/>
      <c r="AV80" s="256"/>
      <c r="AW80" s="256"/>
      <c r="AX80" s="256"/>
      <c r="AY80" s="256"/>
      <c r="AZ80" s="256"/>
      <c r="BA80" s="256"/>
      <c r="BB80" s="256"/>
      <c r="BC80" s="256"/>
      <c r="BD80" s="256"/>
      <c r="BE80" s="256"/>
      <c r="BF80" s="256"/>
      <c r="BG80" s="256"/>
      <c r="BH80" s="256"/>
      <c r="BI80" s="256"/>
      <c r="BJ80" s="256"/>
      <c r="BK80" s="282"/>
      <c r="BL80" s="256"/>
      <c r="BM80" s="256"/>
      <c r="BN80" s="256"/>
      <c r="BO80" s="256"/>
      <c r="BP80" s="256"/>
      <c r="BQ80" s="397"/>
      <c r="BR80" s="144"/>
      <c r="BS80" s="144"/>
      <c r="BT80" s="144"/>
      <c r="BU80" s="144"/>
    </row>
    <row r="81" spans="1:75">
      <c r="A81" s="267" t="s">
        <v>51</v>
      </c>
      <c r="B81" s="147">
        <f>B79*'Data Entry'!$D$54</f>
        <v>615.65982374999999</v>
      </c>
      <c r="C81" s="147">
        <f>C79*'Data Entry'!$D$54</f>
        <v>622.36753499999998</v>
      </c>
      <c r="D81" s="147">
        <f>D79*'Data Entry'!$D$54</f>
        <v>629.07524624999996</v>
      </c>
      <c r="E81" s="147">
        <f>E79*'Data Entry'!$D$54</f>
        <v>635.78295749999995</v>
      </c>
      <c r="F81" s="147">
        <f>F79*'Data Entry'!$D$54</f>
        <v>642.49066874999994</v>
      </c>
      <c r="G81" s="147">
        <f>G79*'Data Entry'!$D$54</f>
        <v>649.19838000000004</v>
      </c>
      <c r="H81" s="147">
        <f>H79*'Data Entry'!$D$54</f>
        <v>655.90609124999992</v>
      </c>
      <c r="I81" s="147">
        <f>I79*'Data Entry'!$D$54</f>
        <v>662.61380249999991</v>
      </c>
      <c r="J81" s="147">
        <f>J79*'Data Entry'!$D$54</f>
        <v>669.32151374999989</v>
      </c>
      <c r="K81" s="147">
        <f>K79*'Data Entry'!$D$54</f>
        <v>676.029225</v>
      </c>
      <c r="L81" s="147">
        <f>L79*'Data Entry'!$D$54</f>
        <v>682.73693624999987</v>
      </c>
      <c r="M81" s="147">
        <f>M79*'Data Entry'!$D$54</f>
        <v>689.44464749999997</v>
      </c>
      <c r="N81" s="147">
        <f>N79*'Data Entry'!$D$54</f>
        <v>696.15235874999996</v>
      </c>
      <c r="O81" s="147">
        <f>O79*'Data Entry'!$D$54</f>
        <v>702.86006999999995</v>
      </c>
      <c r="P81" s="147">
        <f>P79*'Data Entry'!$D$54</f>
        <v>709.56778124999994</v>
      </c>
      <c r="Q81" s="147">
        <f>Q79*'Data Entry'!$D$54</f>
        <v>716.27549249999993</v>
      </c>
      <c r="R81" s="147">
        <f>R79*'Data Entry'!$D$54</f>
        <v>722.98320375000003</v>
      </c>
      <c r="S81" s="147">
        <f>S79*'Data Entry'!$D$54</f>
        <v>729.6909149999999</v>
      </c>
      <c r="T81" s="147">
        <f>T79*'Data Entry'!$D$54</f>
        <v>736.39862625000001</v>
      </c>
      <c r="U81" s="147">
        <f>U79*'Data Entry'!$D$54</f>
        <v>743.10633749999988</v>
      </c>
      <c r="V81" s="147">
        <f>V79*'Data Entry'!$D$54</f>
        <v>749.81404874999998</v>
      </c>
      <c r="W81" s="147">
        <f>W79*'Data Entry'!$D$54</f>
        <v>756.52175999999986</v>
      </c>
      <c r="X81" s="147">
        <f>X79*'Data Entry'!$D$54</f>
        <v>763.22947124999996</v>
      </c>
      <c r="Y81" s="147">
        <f>Y79*'Data Entry'!$D$54</f>
        <v>769.93718250000006</v>
      </c>
      <c r="Z81" s="147">
        <f>Z79*'Data Entry'!$D$54</f>
        <v>776.64489374999994</v>
      </c>
      <c r="AA81" s="147">
        <f>AA79*'Data Entry'!$D$54</f>
        <v>783.35260499999993</v>
      </c>
      <c r="AB81" s="147">
        <f>AB79*'Data Entry'!$D$54</f>
        <v>790.06031624999991</v>
      </c>
      <c r="AC81" s="147">
        <f>AC79*'Data Entry'!$D$54</f>
        <v>796.76802750000002</v>
      </c>
      <c r="AD81" s="147">
        <f>AD79*'Data Entry'!$D$54</f>
        <v>803.47573874999989</v>
      </c>
      <c r="AE81" s="147">
        <f>AE79*'Data Entry'!$D$54</f>
        <v>810.18344999999999</v>
      </c>
      <c r="AF81" s="147">
        <f>AF79*'Data Entry'!$D$54</f>
        <v>816.89116124999998</v>
      </c>
      <c r="AG81" s="147">
        <f>AG79*'Data Entry'!$D$54</f>
        <v>823.59887249999997</v>
      </c>
      <c r="AH81" s="147">
        <f>AH79*'Data Entry'!$D$54</f>
        <v>830.30658374999985</v>
      </c>
      <c r="AI81" s="147">
        <f>AI79*'Data Entry'!$D$54</f>
        <v>837.01429499999995</v>
      </c>
      <c r="AJ81" s="147">
        <f>AJ79*'Data Entry'!$D$54</f>
        <v>843.72200625000005</v>
      </c>
      <c r="AK81" s="147">
        <f>AK79*'Data Entry'!$D$54</f>
        <v>850.42971749999992</v>
      </c>
      <c r="AL81" s="147">
        <f>AL79*'Data Entry'!$D$54</f>
        <v>857.13742875000003</v>
      </c>
      <c r="AM81" s="147">
        <f>AM79*'Data Entry'!$D$54</f>
        <v>863.84514000000001</v>
      </c>
      <c r="AN81" s="147">
        <f>AN79*'Data Entry'!$D$54</f>
        <v>870.55285125</v>
      </c>
      <c r="AO81" s="147">
        <f>AO79*'Data Entry'!$D$54</f>
        <v>877.26056249999988</v>
      </c>
      <c r="AP81" s="147">
        <f>AP79*'Data Entry'!$D$54</f>
        <v>883.96827374999998</v>
      </c>
      <c r="AQ81" s="147">
        <f>AQ79*'Data Entry'!$D$54</f>
        <v>890.67598499999997</v>
      </c>
      <c r="AR81" s="147">
        <f>AR79*'Data Entry'!$D$54</f>
        <v>897.38369624999996</v>
      </c>
      <c r="AS81" s="147">
        <f>AS79*'Data Entry'!$D$54</f>
        <v>904.09140749999995</v>
      </c>
      <c r="AT81" s="147">
        <f>AT79*'Data Entry'!$D$54</f>
        <v>910.79911875000005</v>
      </c>
      <c r="AU81" s="147">
        <f>AU79*'Data Entry'!$D$54</f>
        <v>917.50682999999992</v>
      </c>
      <c r="AV81" s="147">
        <f>AV79*'Data Entry'!$D$54</f>
        <v>924.21454124999991</v>
      </c>
      <c r="AW81" s="147">
        <f>AW79*'Data Entry'!$D$54</f>
        <v>930.92225250000001</v>
      </c>
      <c r="AX81" s="147">
        <f>AX79*'Data Entry'!$D$54</f>
        <v>934.27610812499995</v>
      </c>
      <c r="AY81" s="147">
        <f>AY79*'Data Entry'!$D$54</f>
        <v>937.62996375</v>
      </c>
      <c r="AZ81" s="147">
        <f>AZ79*'Data Entry'!$D$54</f>
        <v>940.98381937499994</v>
      </c>
      <c r="BA81" s="147">
        <f>BA79*'Data Entry'!$D$54</f>
        <v>944.33767499999999</v>
      </c>
      <c r="BB81" s="147">
        <f>BB79*'Data Entry'!$D$54</f>
        <v>947.69153062500004</v>
      </c>
      <c r="BC81" s="147">
        <f>BC79*'Data Entry'!$D$54</f>
        <v>951.04538624999986</v>
      </c>
      <c r="BD81" s="147">
        <f>BD79*'Data Entry'!$D$54</f>
        <v>954.39924187499992</v>
      </c>
      <c r="BE81" s="147">
        <f>BE79*'Data Entry'!$D$54</f>
        <v>957.75309749999997</v>
      </c>
      <c r="BF81" s="147">
        <f>BF79*'Data Entry'!$D$54</f>
        <v>961.1069531249999</v>
      </c>
      <c r="BG81" s="147">
        <f>BG79*'Data Entry'!$D$54</f>
        <v>964.46080874999996</v>
      </c>
      <c r="BH81" s="147">
        <f>BH79*'Data Entry'!$D$54</f>
        <v>967.81466437500001</v>
      </c>
      <c r="BI81" s="147">
        <f>BI79*'Data Entry'!$D$54</f>
        <v>971.16851999999994</v>
      </c>
      <c r="BJ81" s="147"/>
      <c r="BK81" s="282">
        <f t="shared" ref="BK81:BK103" si="373">SUM(B81:M81)</f>
        <v>7830.6268275000002</v>
      </c>
      <c r="BL81" s="147">
        <f>SUM(N81:Y81)</f>
        <v>8796.5372475000004</v>
      </c>
      <c r="BM81" s="147">
        <f t="shared" ref="BM81:BM88" si="374">SUM(Z81:AK81)</f>
        <v>9762.4476674999987</v>
      </c>
      <c r="BN81" s="147">
        <f t="shared" ref="BN81:BN88" si="375">SUM(AL81:AW81)</f>
        <v>10728.358087499999</v>
      </c>
      <c r="BO81" s="147">
        <f t="shared" ref="BO81:BO88" si="376">SUM(AX81:BI81)</f>
        <v>11432.66776875</v>
      </c>
      <c r="BP81" s="256"/>
      <c r="BQ81" s="397">
        <f t="shared" si="186"/>
        <v>2.0296956808267434E-2</v>
      </c>
      <c r="BR81" s="393">
        <f t="shared" si="187"/>
        <v>1.3200343415312725E-2</v>
      </c>
      <c r="BS81" s="393">
        <f t="shared" si="188"/>
        <v>1.030913055151636E-2</v>
      </c>
      <c r="BT81" s="393">
        <f t="shared" si="189"/>
        <v>8.739614996884049E-3</v>
      </c>
      <c r="BU81" s="393">
        <f t="shared" si="190"/>
        <v>7.9828842830434715E-3</v>
      </c>
      <c r="BV81" s="137">
        <v>7.6499999999999999E-2</v>
      </c>
    </row>
    <row r="82" spans="1:75">
      <c r="A82" s="260" t="s">
        <v>66</v>
      </c>
      <c r="B82" s="147">
        <f>('Data Entry'!$D$56*'Data Entry'!$D$57+'Data Entry'!$D$60*'Data Entry'!$D$61)*'Income Statement Projections'!B19/12</f>
        <v>64.4305781586569</v>
      </c>
      <c r="C82" s="147">
        <f>('Data Entry'!$D$56*'Data Entry'!$D$57+'Data Entry'!$D$60*'Data Entry'!$D$61)*'Income Statement Projections'!C19/12</f>
        <v>65.628886607502594</v>
      </c>
      <c r="D82" s="147">
        <f>('Data Entry'!$D$56*'Data Entry'!$D$57+'Data Entry'!$D$60*'Data Entry'!$D$61)*'Income Statement Projections'!D19/12</f>
        <v>66.827195056348316</v>
      </c>
      <c r="E82" s="147">
        <f>('Data Entry'!$D$56*'Data Entry'!$D$57+'Data Entry'!$D$60*'Data Entry'!$D$61)*'Income Statement Projections'!E19/12</f>
        <v>68.02550350519401</v>
      </c>
      <c r="F82" s="147">
        <f>('Data Entry'!$D$56*'Data Entry'!$D$57+'Data Entry'!$D$60*'Data Entry'!$D$61)*'Income Statement Projections'!F19/12</f>
        <v>69.223811954039718</v>
      </c>
      <c r="G82" s="147">
        <f>('Data Entry'!$D$56*'Data Entry'!$D$57+'Data Entry'!$D$60*'Data Entry'!$D$61)*'Income Statement Projections'!G19/12</f>
        <v>70.422120402885426</v>
      </c>
      <c r="H82" s="147">
        <f>('Data Entry'!$D$56*'Data Entry'!$D$57+'Data Entry'!$D$60*'Data Entry'!$D$61)*'Income Statement Projections'!H19/12</f>
        <v>71.62042885173112</v>
      </c>
      <c r="I82" s="147">
        <f>('Data Entry'!$D$56*'Data Entry'!$D$57+'Data Entry'!$D$60*'Data Entry'!$D$61)*'Income Statement Projections'!I19/12</f>
        <v>72.818737300576828</v>
      </c>
      <c r="J82" s="147">
        <f>('Data Entry'!$D$56*'Data Entry'!$D$57+'Data Entry'!$D$60*'Data Entry'!$D$61)*'Income Statement Projections'!J19/12</f>
        <v>74.017045749422536</v>
      </c>
      <c r="K82" s="147">
        <f>('Data Entry'!$D$56*'Data Entry'!$D$57+'Data Entry'!$D$60*'Data Entry'!$D$61)*'Income Statement Projections'!K19/12</f>
        <v>75.21535419826823</v>
      </c>
      <c r="L82" s="147">
        <f>('Data Entry'!$D$56*'Data Entry'!$D$57+'Data Entry'!$D$60*'Data Entry'!$D$61)*'Income Statement Projections'!L19/12</f>
        <v>76.413662647113938</v>
      </c>
      <c r="M82" s="147">
        <f>('Data Entry'!$D$56*'Data Entry'!$D$57+'Data Entry'!$D$60*'Data Entry'!$D$61)*'Income Statement Projections'!M19/12</f>
        <v>77.611971095959632</v>
      </c>
      <c r="N82" s="147">
        <f>('Data Entry'!$D$56*'Data Entry'!$D$57+'Data Entry'!$D$60*'Data Entry'!$D$61)*'Income Statement Projections'!N19/12</f>
        <v>78.81027954480534</v>
      </c>
      <c r="O82" s="147">
        <f>('Data Entry'!$D$56*'Data Entry'!$D$57+'Data Entry'!$D$60*'Data Entry'!$D$61)*'Income Statement Projections'!O19/12</f>
        <v>80.008587993651034</v>
      </c>
      <c r="P82" s="147">
        <f>('Data Entry'!$D$56*'Data Entry'!$D$57+'Data Entry'!$D$60*'Data Entry'!$D$61)*'Income Statement Projections'!P19/12</f>
        <v>81.206896442496756</v>
      </c>
      <c r="Q82" s="147">
        <f>('Data Entry'!$D$56*'Data Entry'!$D$57+'Data Entry'!$D$60*'Data Entry'!$D$61)*'Income Statement Projections'!Q19/12</f>
        <v>82.40520489134245</v>
      </c>
      <c r="R82" s="147">
        <f>('Data Entry'!$D$56*'Data Entry'!$D$57+'Data Entry'!$D$60*'Data Entry'!$D$61)*'Income Statement Projections'!R19/12</f>
        <v>83.603513340188158</v>
      </c>
      <c r="S82" s="147">
        <f>('Data Entry'!$D$56*'Data Entry'!$D$57+'Data Entry'!$D$60*'Data Entry'!$D$61)*'Income Statement Projections'!S19/12</f>
        <v>84.801821789033852</v>
      </c>
      <c r="T82" s="147">
        <f>('Data Entry'!$D$56*'Data Entry'!$D$57+'Data Entry'!$D$60*'Data Entry'!$D$61)*'Income Statement Projections'!T19/12</f>
        <v>86.00013023787956</v>
      </c>
      <c r="U82" s="147">
        <f>('Data Entry'!$D$56*'Data Entry'!$D$57+'Data Entry'!$D$60*'Data Entry'!$D$61)*'Income Statement Projections'!U19/12</f>
        <v>87.198438686725254</v>
      </c>
      <c r="V82" s="147">
        <f>('Data Entry'!$D$56*'Data Entry'!$D$57+'Data Entry'!$D$60*'Data Entry'!$D$61)*'Income Statement Projections'!V19/12</f>
        <v>88.396747135570976</v>
      </c>
      <c r="W82" s="147">
        <f>('Data Entry'!$D$56*'Data Entry'!$D$57+'Data Entry'!$D$60*'Data Entry'!$D$61)*'Income Statement Projections'!W19/12</f>
        <v>89.59505558441667</v>
      </c>
      <c r="X82" s="147">
        <f>('Data Entry'!$D$56*'Data Entry'!$D$57+'Data Entry'!$D$60*'Data Entry'!$D$61)*'Income Statement Projections'!X19/12</f>
        <v>90.793364033262378</v>
      </c>
      <c r="Y82" s="147">
        <f>('Data Entry'!$D$56*'Data Entry'!$D$57+'Data Entry'!$D$60*'Data Entry'!$D$61)*'Income Statement Projections'!Y19/12</f>
        <v>91.991672482108072</v>
      </c>
      <c r="Z82" s="147">
        <f>('Data Entry'!$D$56*'Data Entry'!$D$57+'Data Entry'!$D$60*'Data Entry'!$D$61)*'Income Statement Projections'!Z19/12</f>
        <v>93.18998093095378</v>
      </c>
      <c r="AA82" s="147">
        <f>('Data Entry'!$D$56*'Data Entry'!$D$57+'Data Entry'!$D$60*'Data Entry'!$D$61)*'Income Statement Projections'!AA19/12</f>
        <v>94.388289379799474</v>
      </c>
      <c r="AB82" s="147">
        <f>('Data Entry'!$D$56*'Data Entry'!$D$57+'Data Entry'!$D$60*'Data Entry'!$D$61)*'Income Statement Projections'!AB19/12</f>
        <v>95.586597828645196</v>
      </c>
      <c r="AC82" s="147">
        <f>('Data Entry'!$D$56*'Data Entry'!$D$57+'Data Entry'!$D$60*'Data Entry'!$D$61)*'Income Statement Projections'!AC19/12</f>
        <v>96.78490627749089</v>
      </c>
      <c r="AD82" s="147">
        <f>('Data Entry'!$D$56*'Data Entry'!$D$57+'Data Entry'!$D$60*'Data Entry'!$D$61)*'Income Statement Projections'!AD19/12</f>
        <v>97.983214726336584</v>
      </c>
      <c r="AE82" s="147">
        <f>('Data Entry'!$D$56*'Data Entry'!$D$57+'Data Entry'!$D$60*'Data Entry'!$D$61)*'Income Statement Projections'!AE19/12</f>
        <v>99.181523175182292</v>
      </c>
      <c r="AF82" s="147">
        <f>('Data Entry'!$D$56*'Data Entry'!$D$57+'Data Entry'!$D$60*'Data Entry'!$D$61)*'Income Statement Projections'!AF19/12</f>
        <v>100.37983162402799</v>
      </c>
      <c r="AG82" s="147">
        <f>('Data Entry'!$D$56*'Data Entry'!$D$57+'Data Entry'!$D$60*'Data Entry'!$D$61)*'Income Statement Projections'!AG19/12</f>
        <v>101.57814007287369</v>
      </c>
      <c r="AH82" s="147">
        <f>('Data Entry'!$D$56*'Data Entry'!$D$57+'Data Entry'!$D$60*'Data Entry'!$D$61)*'Income Statement Projections'!AH19/12</f>
        <v>102.77644852171939</v>
      </c>
      <c r="AI82" s="147">
        <f>('Data Entry'!$D$56*'Data Entry'!$D$57+'Data Entry'!$D$60*'Data Entry'!$D$61)*'Income Statement Projections'!AI19/12</f>
        <v>103.97475697056508</v>
      </c>
      <c r="AJ82" s="147">
        <f>('Data Entry'!$D$56*'Data Entry'!$D$57+'Data Entry'!$D$60*'Data Entry'!$D$61)*'Income Statement Projections'!AJ19/12</f>
        <v>105.1730654194108</v>
      </c>
      <c r="AK82" s="147">
        <f>('Data Entry'!$D$56*'Data Entry'!$D$57+'Data Entry'!$D$60*'Data Entry'!$D$61)*'Income Statement Projections'!AK19/12</f>
        <v>106.37137386825653</v>
      </c>
      <c r="AL82" s="147">
        <f>('Data Entry'!$D$56*'Data Entry'!$D$57+'Data Entry'!$D$60*'Data Entry'!$D$61)*'Income Statement Projections'!AL19/12</f>
        <v>107.56968231710221</v>
      </c>
      <c r="AM82" s="147">
        <f>('Data Entry'!$D$56*'Data Entry'!$D$57+'Data Entry'!$D$60*'Data Entry'!$D$61)*'Income Statement Projections'!AM19/12</f>
        <v>108.7679907659479</v>
      </c>
      <c r="AN82" s="147">
        <f>('Data Entry'!$D$56*'Data Entry'!$D$57+'Data Entry'!$D$60*'Data Entry'!$D$61)*'Income Statement Projections'!AN19/12</f>
        <v>109.96629921479364</v>
      </c>
      <c r="AO82" s="147">
        <f>('Data Entry'!$D$56*'Data Entry'!$D$57+'Data Entry'!$D$60*'Data Entry'!$D$61)*'Income Statement Projections'!AO19/12</f>
        <v>111.16460766363934</v>
      </c>
      <c r="AP82" s="147">
        <f>('Data Entry'!$D$56*'Data Entry'!$D$57+'Data Entry'!$D$60*'Data Entry'!$D$61)*'Income Statement Projections'!AP19/12</f>
        <v>112.36291611248504</v>
      </c>
      <c r="AQ82" s="147">
        <f>('Data Entry'!$D$56*'Data Entry'!$D$57+'Data Entry'!$D$60*'Data Entry'!$D$61)*'Income Statement Projections'!AQ19/12</f>
        <v>113.56122456133075</v>
      </c>
      <c r="AR82" s="147">
        <f>('Data Entry'!$D$56*'Data Entry'!$D$57+'Data Entry'!$D$60*'Data Entry'!$D$61)*'Income Statement Projections'!AR19/12</f>
        <v>114.75953301017641</v>
      </c>
      <c r="AS82" s="147">
        <f>('Data Entry'!$D$56*'Data Entry'!$D$57+'Data Entry'!$D$60*'Data Entry'!$D$61)*'Income Statement Projections'!AS19/12</f>
        <v>115.95784145902216</v>
      </c>
      <c r="AT82" s="147">
        <f>('Data Entry'!$D$56*'Data Entry'!$D$57+'Data Entry'!$D$60*'Data Entry'!$D$61)*'Income Statement Projections'!AT19/12</f>
        <v>117.15614990786786</v>
      </c>
      <c r="AU82" s="147">
        <f>('Data Entry'!$D$56*'Data Entry'!$D$57+'Data Entry'!$D$60*'Data Entry'!$D$61)*'Income Statement Projections'!AU19/12</f>
        <v>118.35445835671355</v>
      </c>
      <c r="AV82" s="147">
        <f>('Data Entry'!$D$56*'Data Entry'!$D$57+'Data Entry'!$D$60*'Data Entry'!$D$61)*'Income Statement Projections'!AV19/12</f>
        <v>119.55276680555924</v>
      </c>
      <c r="AW82" s="147">
        <f>('Data Entry'!$D$56*'Data Entry'!$D$57+'Data Entry'!$D$60*'Data Entry'!$D$61)*'Income Statement Projections'!AW19/12</f>
        <v>120.75107525440495</v>
      </c>
      <c r="AX82" s="147">
        <f>('Data Entry'!$D$56*'Data Entry'!$D$57+'Data Entry'!$D$60*'Data Entry'!$D$61)*'Income Statement Projections'!AX19/12</f>
        <v>121.35022947882779</v>
      </c>
      <c r="AY82" s="147">
        <f>('Data Entry'!$D$56*'Data Entry'!$D$57+'Data Entry'!$D$60*'Data Entry'!$D$61)*'Income Statement Projections'!AY19/12</f>
        <v>121.94938370325066</v>
      </c>
      <c r="AZ82" s="147">
        <f>('Data Entry'!$D$56*'Data Entry'!$D$57+'Data Entry'!$D$60*'Data Entry'!$D$61)*'Income Statement Projections'!AZ19/12</f>
        <v>122.54853792767351</v>
      </c>
      <c r="BA82" s="147">
        <f>('Data Entry'!$D$56*'Data Entry'!$D$57+'Data Entry'!$D$60*'Data Entry'!$D$61)*'Income Statement Projections'!BA19/12</f>
        <v>123.14769215209635</v>
      </c>
      <c r="BB82" s="147">
        <f>('Data Entry'!$D$56*'Data Entry'!$D$57+'Data Entry'!$D$60*'Data Entry'!$D$61)*'Income Statement Projections'!BB19/12</f>
        <v>123.7468463765192</v>
      </c>
      <c r="BC82" s="147">
        <f>('Data Entry'!$D$56*'Data Entry'!$D$57+'Data Entry'!$D$60*'Data Entry'!$D$61)*'Income Statement Projections'!BC19/12</f>
        <v>124.34600060094205</v>
      </c>
      <c r="BD82" s="147">
        <f>('Data Entry'!$D$56*'Data Entry'!$D$57+'Data Entry'!$D$60*'Data Entry'!$D$61)*'Income Statement Projections'!BD19/12</f>
        <v>124.94515482536491</v>
      </c>
      <c r="BE82" s="147">
        <f>('Data Entry'!$D$56*'Data Entry'!$D$57+'Data Entry'!$D$60*'Data Entry'!$D$61)*'Income Statement Projections'!BE19/12</f>
        <v>125.54430904978777</v>
      </c>
      <c r="BF82" s="147">
        <f>('Data Entry'!$D$56*'Data Entry'!$D$57+'Data Entry'!$D$60*'Data Entry'!$D$61)*'Income Statement Projections'!BF19/12</f>
        <v>126.14346327421062</v>
      </c>
      <c r="BG82" s="147">
        <f>('Data Entry'!$D$56*'Data Entry'!$D$57+'Data Entry'!$D$60*'Data Entry'!$D$61)*'Income Statement Projections'!BG19/12</f>
        <v>126.74261749863348</v>
      </c>
      <c r="BH82" s="147">
        <f>('Data Entry'!$D$56*'Data Entry'!$D$57+'Data Entry'!$D$60*'Data Entry'!$D$61)*'Income Statement Projections'!BH19/12</f>
        <v>127.34177172305631</v>
      </c>
      <c r="BI82" s="147">
        <f>('Data Entry'!$D$56*'Data Entry'!$D$57+'Data Entry'!$D$60*'Data Entry'!$D$61)*'Income Statement Projections'!BI19/12</f>
        <v>127.94092594747917</v>
      </c>
      <c r="BJ82" s="147"/>
      <c r="BK82" s="282">
        <f t="shared" si="373"/>
        <v>852.25529552769922</v>
      </c>
      <c r="BL82" s="147">
        <f t="shared" ref="BL82:BL88" si="377">SUM(N82:Y82)</f>
        <v>1024.8117121614805</v>
      </c>
      <c r="BM82" s="147">
        <f t="shared" si="374"/>
        <v>1197.3681287952618</v>
      </c>
      <c r="BN82" s="147">
        <f t="shared" si="375"/>
        <v>1369.9245454290428</v>
      </c>
      <c r="BO82" s="147">
        <f t="shared" si="376"/>
        <v>1495.7469325578418</v>
      </c>
      <c r="BP82" s="256"/>
      <c r="BQ82" s="397">
        <f t="shared" si="186"/>
        <v>2.2090426863650599E-3</v>
      </c>
      <c r="BR82" s="393">
        <f t="shared" si="187"/>
        <v>1.537862701645561E-3</v>
      </c>
      <c r="BS82" s="393">
        <f t="shared" si="188"/>
        <v>1.2644190041672468E-3</v>
      </c>
      <c r="BT82" s="393">
        <f t="shared" si="189"/>
        <v>1.115978139821876E-3</v>
      </c>
      <c r="BU82" s="393">
        <f t="shared" si="190"/>
        <v>1.0444084373696437E-3</v>
      </c>
      <c r="BV82" s="138">
        <v>42</v>
      </c>
    </row>
    <row r="83" spans="1:75">
      <c r="A83" s="260" t="s">
        <v>52</v>
      </c>
      <c r="B83" s="147">
        <f>B79*'Data Entry'!$D$64/12</f>
        <v>10.059801041666665</v>
      </c>
      <c r="C83" s="147">
        <f>C79*'Data Entry'!$D$64/12</f>
        <v>10.169404166666665</v>
      </c>
      <c r="D83" s="147">
        <f>D79*'Data Entry'!$D$64/12</f>
        <v>10.279007291666666</v>
      </c>
      <c r="E83" s="147">
        <f>E79*'Data Entry'!$D$64/12</f>
        <v>10.388610416666666</v>
      </c>
      <c r="F83" s="147">
        <f>F79*'Data Entry'!$D$64/12</f>
        <v>10.498213541666667</v>
      </c>
      <c r="G83" s="147">
        <f>G79*'Data Entry'!$D$64/12</f>
        <v>10.607816666666666</v>
      </c>
      <c r="H83" s="147">
        <f>H79*'Data Entry'!$D$64/12</f>
        <v>10.717419791666666</v>
      </c>
      <c r="I83" s="147">
        <f>I79*'Data Entry'!$D$64/12</f>
        <v>10.827022916666664</v>
      </c>
      <c r="J83" s="147">
        <f>J79*'Data Entry'!$D$64/12</f>
        <v>10.936626041666665</v>
      </c>
      <c r="K83" s="147">
        <f>K79*'Data Entry'!$D$64/12</f>
        <v>11.046229166666668</v>
      </c>
      <c r="L83" s="147">
        <f>L79*'Data Entry'!$D$64/12</f>
        <v>11.155832291666664</v>
      </c>
      <c r="M83" s="147">
        <f>M79*'Data Entry'!$D$64/12</f>
        <v>11.265435416666667</v>
      </c>
      <c r="N83" s="147">
        <f>N79*'Data Entry'!$D$64/12</f>
        <v>11.375038541666664</v>
      </c>
      <c r="O83" s="147">
        <f>O79*'Data Entry'!$D$64/12</f>
        <v>11.484641666666667</v>
      </c>
      <c r="P83" s="147">
        <f>P79*'Data Entry'!$D$64/12</f>
        <v>11.594244791666666</v>
      </c>
      <c r="Q83" s="147">
        <f>Q79*'Data Entry'!$D$64/12</f>
        <v>11.703847916666666</v>
      </c>
      <c r="R83" s="147">
        <f>R79*'Data Entry'!$D$64/12</f>
        <v>11.813451041666667</v>
      </c>
      <c r="S83" s="147">
        <f>S79*'Data Entry'!$D$64/12</f>
        <v>11.923054166666665</v>
      </c>
      <c r="T83" s="147">
        <f>T79*'Data Entry'!$D$64/12</f>
        <v>12.032657291666666</v>
      </c>
      <c r="U83" s="147">
        <f>U79*'Data Entry'!$D$64/12</f>
        <v>12.142260416666666</v>
      </c>
      <c r="V83" s="147">
        <f>V79*'Data Entry'!$D$64/12</f>
        <v>12.251863541666665</v>
      </c>
      <c r="W83" s="147">
        <f>W79*'Data Entry'!$D$64/12</f>
        <v>12.361466666666665</v>
      </c>
      <c r="X83" s="147">
        <f>X79*'Data Entry'!$D$64/12</f>
        <v>12.471069791666666</v>
      </c>
      <c r="Y83" s="147">
        <f>Y79*'Data Entry'!$D$64/12</f>
        <v>12.580672916666666</v>
      </c>
      <c r="Z83" s="147">
        <f>Z79*'Data Entry'!$D$64/12</f>
        <v>12.690276041666666</v>
      </c>
      <c r="AA83" s="147">
        <f>AA79*'Data Entry'!$D$64/12</f>
        <v>12.799879166666663</v>
      </c>
      <c r="AB83" s="147">
        <f>AB79*'Data Entry'!$D$64/12</f>
        <v>12.909482291666665</v>
      </c>
      <c r="AC83" s="147">
        <f>AC79*'Data Entry'!$D$64/12</f>
        <v>13.019085416666668</v>
      </c>
      <c r="AD83" s="147">
        <f>AD79*'Data Entry'!$D$64/12</f>
        <v>13.128688541666664</v>
      </c>
      <c r="AE83" s="147">
        <f>AE79*'Data Entry'!$D$64/12</f>
        <v>13.238291666666667</v>
      </c>
      <c r="AF83" s="147">
        <f>AF79*'Data Entry'!$D$64/12</f>
        <v>13.347894791666667</v>
      </c>
      <c r="AG83" s="147">
        <f>AG79*'Data Entry'!$D$64/12</f>
        <v>13.457497916666666</v>
      </c>
      <c r="AH83" s="147">
        <f>AH79*'Data Entry'!$D$64/12</f>
        <v>13.567101041666666</v>
      </c>
      <c r="AI83" s="147">
        <f>AI79*'Data Entry'!$D$64/12</f>
        <v>13.676704166666665</v>
      </c>
      <c r="AJ83" s="147">
        <f>AJ79*'Data Entry'!$D$64/12</f>
        <v>13.786307291666667</v>
      </c>
      <c r="AK83" s="147">
        <f>AK79*'Data Entry'!$D$64/12</f>
        <v>13.895910416666666</v>
      </c>
      <c r="AL83" s="147">
        <f>AL79*'Data Entry'!$D$64/12</f>
        <v>14.005513541666666</v>
      </c>
      <c r="AM83" s="147">
        <f>AM79*'Data Entry'!$D$64/12</f>
        <v>14.115116666666667</v>
      </c>
      <c r="AN83" s="147">
        <f>AN79*'Data Entry'!$D$64/12</f>
        <v>14.224719791666665</v>
      </c>
      <c r="AO83" s="147">
        <f>AO79*'Data Entry'!$D$64/12</f>
        <v>14.334322916666665</v>
      </c>
      <c r="AP83" s="147">
        <f>AP79*'Data Entry'!$D$64/12</f>
        <v>14.443926041666666</v>
      </c>
      <c r="AQ83" s="147">
        <f>AQ79*'Data Entry'!$D$64/12</f>
        <v>14.553529166666666</v>
      </c>
      <c r="AR83" s="147">
        <f>AR79*'Data Entry'!$D$64/12</f>
        <v>14.663132291666665</v>
      </c>
      <c r="AS83" s="147">
        <f>AS79*'Data Entry'!$D$64/12</f>
        <v>14.772735416666665</v>
      </c>
      <c r="AT83" s="147">
        <f>AT79*'Data Entry'!$D$64/12</f>
        <v>14.882338541666668</v>
      </c>
      <c r="AU83" s="147">
        <f>AU79*'Data Entry'!$D$64/12</f>
        <v>14.991941666666667</v>
      </c>
      <c r="AV83" s="147">
        <f>AV79*'Data Entry'!$D$64/12</f>
        <v>15.101544791666663</v>
      </c>
      <c r="AW83" s="147">
        <f>AW79*'Data Entry'!$D$64/12</f>
        <v>15.211147916666667</v>
      </c>
      <c r="AX83" s="147">
        <f>AX79*'Data Entry'!$D$64/12</f>
        <v>15.265949479166665</v>
      </c>
      <c r="AY83" s="147">
        <f>AY79*'Data Entry'!$D$64/12</f>
        <v>15.320751041666668</v>
      </c>
      <c r="AZ83" s="147">
        <f>AZ79*'Data Entry'!$D$64/12</f>
        <v>15.375552604166666</v>
      </c>
      <c r="BA83" s="147">
        <f>BA79*'Data Entry'!$D$64/12</f>
        <v>15.430354166666666</v>
      </c>
      <c r="BB83" s="147">
        <f>BB79*'Data Entry'!$D$64/12</f>
        <v>15.485155729166665</v>
      </c>
      <c r="BC83" s="147">
        <f>BC79*'Data Entry'!$D$64/12</f>
        <v>15.539957291666665</v>
      </c>
      <c r="BD83" s="147">
        <f>BD79*'Data Entry'!$D$64/12</f>
        <v>15.594758854166665</v>
      </c>
      <c r="BE83" s="147">
        <f>BE79*'Data Entry'!$D$64/12</f>
        <v>15.649560416666665</v>
      </c>
      <c r="BF83" s="147">
        <f>BF79*'Data Entry'!$D$64/12</f>
        <v>15.704361979166665</v>
      </c>
      <c r="BG83" s="147">
        <f>BG79*'Data Entry'!$D$64/12</f>
        <v>15.759163541666666</v>
      </c>
      <c r="BH83" s="147">
        <f>BH79*'Data Entry'!$D$64/12</f>
        <v>15.813965104166664</v>
      </c>
      <c r="BI83" s="147">
        <f>BI79*'Data Entry'!$D$64/12</f>
        <v>15.868766666666666</v>
      </c>
      <c r="BJ83" s="147"/>
      <c r="BK83" s="282">
        <f t="shared" si="373"/>
        <v>127.95141874999999</v>
      </c>
      <c r="BL83" s="147">
        <f t="shared" si="377"/>
        <v>143.73426875000001</v>
      </c>
      <c r="BM83" s="147">
        <f t="shared" si="374"/>
        <v>159.51711875000001</v>
      </c>
      <c r="BN83" s="147">
        <f t="shared" si="375"/>
        <v>175.29996875000001</v>
      </c>
      <c r="BO83" s="147">
        <f t="shared" si="376"/>
        <v>186.80829687499997</v>
      </c>
      <c r="BP83" s="256"/>
      <c r="BQ83" s="397">
        <f t="shared" si="186"/>
        <v>3.3164962105012143E-4</v>
      </c>
      <c r="BR83" s="393">
        <f t="shared" si="187"/>
        <v>2.1569188587112296E-4</v>
      </c>
      <c r="BS83" s="393">
        <f t="shared" si="188"/>
        <v>1.6844984561301243E-4</v>
      </c>
      <c r="BT83" s="393">
        <f t="shared" si="189"/>
        <v>1.4280416661575246E-4</v>
      </c>
      <c r="BU83" s="393">
        <f t="shared" si="190"/>
        <v>1.3043928567064492E-4</v>
      </c>
      <c r="BV83" s="137">
        <v>0.04</v>
      </c>
      <c r="BW83" s="117" t="s">
        <v>80</v>
      </c>
    </row>
    <row r="84" spans="1:75">
      <c r="A84" s="260" t="s">
        <v>53</v>
      </c>
      <c r="B84" s="147">
        <f>B19*('Data Entry'!$D$65/12)</f>
        <v>251.44039999999998</v>
      </c>
      <c r="C84" s="147">
        <f>C19*('Data Entry'!$D$65/12)</f>
        <v>256.11680000000001</v>
      </c>
      <c r="D84" s="147">
        <f>D19*('Data Entry'!$D$65/12)</f>
        <v>260.79320000000001</v>
      </c>
      <c r="E84" s="147">
        <f>E19*('Data Entry'!$D$65/12)</f>
        <v>265.46960000000001</v>
      </c>
      <c r="F84" s="147">
        <f>F19*('Data Entry'!$D$65/12)</f>
        <v>270.14600000000002</v>
      </c>
      <c r="G84" s="147">
        <f>G19*('Data Entry'!$D$65/12)</f>
        <v>274.82240000000002</v>
      </c>
      <c r="H84" s="147">
        <f>H19*('Data Entry'!$D$65/12)</f>
        <v>279.49880000000002</v>
      </c>
      <c r="I84" s="147">
        <f>I19*('Data Entry'!$D$65/12)</f>
        <v>284.17520000000002</v>
      </c>
      <c r="J84" s="147">
        <f>J19*('Data Entry'!$D$65/12)</f>
        <v>288.85160000000002</v>
      </c>
      <c r="K84" s="147">
        <f>K19*('Data Entry'!$D$65/12)</f>
        <v>293.52799999999996</v>
      </c>
      <c r="L84" s="147">
        <f>L19*('Data Entry'!$D$65/12)</f>
        <v>298.20440000000002</v>
      </c>
      <c r="M84" s="147">
        <f>M19*('Data Entry'!$D$65/12)</f>
        <v>302.88079999999997</v>
      </c>
      <c r="N84" s="147">
        <f>N19*('Data Entry'!$D$65/12)</f>
        <v>307.55720000000002</v>
      </c>
      <c r="O84" s="147">
        <f>O19*('Data Entry'!$D$65/12)</f>
        <v>312.23359999999997</v>
      </c>
      <c r="P84" s="147">
        <f>P19*('Data Entry'!$D$65/12)</f>
        <v>316.91000000000003</v>
      </c>
      <c r="Q84" s="147">
        <f>Q19*('Data Entry'!$D$65/12)</f>
        <v>321.58640000000003</v>
      </c>
      <c r="R84" s="147">
        <f>R19*('Data Entry'!$D$65/12)</f>
        <v>326.26280000000003</v>
      </c>
      <c r="S84" s="147">
        <f>S19*('Data Entry'!$D$65/12)</f>
        <v>330.93919999999997</v>
      </c>
      <c r="T84" s="147">
        <f>T19*('Data Entry'!$D$65/12)</f>
        <v>335.61559999999997</v>
      </c>
      <c r="U84" s="147">
        <f>U19*('Data Entry'!$D$65/12)</f>
        <v>340.29199999999997</v>
      </c>
      <c r="V84" s="147">
        <f>V19*('Data Entry'!$D$65/12)</f>
        <v>344.96839999999997</v>
      </c>
      <c r="W84" s="147">
        <f>W19*('Data Entry'!$D$65/12)</f>
        <v>349.64479999999998</v>
      </c>
      <c r="X84" s="147">
        <f>X19*('Data Entry'!$D$65/12)</f>
        <v>354.32120000000003</v>
      </c>
      <c r="Y84" s="147">
        <f>Y19*('Data Entry'!$D$65/12)</f>
        <v>358.99760000000003</v>
      </c>
      <c r="Z84" s="147">
        <f>Z19*('Data Entry'!$D$65/12)</f>
        <v>363.67400000000004</v>
      </c>
      <c r="AA84" s="147">
        <f>AA19*('Data Entry'!$D$65/12)</f>
        <v>368.35040000000004</v>
      </c>
      <c r="AB84" s="147">
        <f>AB19*('Data Entry'!$D$65/12)</f>
        <v>373.02680000000004</v>
      </c>
      <c r="AC84" s="147">
        <f>AC19*('Data Entry'!$D$65/12)</f>
        <v>377.70320000000004</v>
      </c>
      <c r="AD84" s="147">
        <f>AD19*('Data Entry'!$D$65/12)</f>
        <v>382.37959999999998</v>
      </c>
      <c r="AE84" s="147">
        <f>AE19*('Data Entry'!$D$65/12)</f>
        <v>387.05599999999998</v>
      </c>
      <c r="AF84" s="147">
        <f>AF19*('Data Entry'!$D$65/12)</f>
        <v>391.73239999999998</v>
      </c>
      <c r="AG84" s="147">
        <f>AG19*('Data Entry'!$D$65/12)</f>
        <v>396.40880000000004</v>
      </c>
      <c r="AH84" s="147">
        <f>AH19*('Data Entry'!$D$65/12)</f>
        <v>401.08519999999999</v>
      </c>
      <c r="AI84" s="147">
        <f>AI19*('Data Entry'!$D$65/12)</f>
        <v>405.76159999999993</v>
      </c>
      <c r="AJ84" s="147">
        <f>AJ19*('Data Entry'!$D$65/12)</f>
        <v>410.43799999999999</v>
      </c>
      <c r="AK84" s="147">
        <f>AK19*('Data Entry'!$D$65/12)</f>
        <v>415.11440000000005</v>
      </c>
      <c r="AL84" s="147">
        <f>AL19*('Data Entry'!$D$65/12)</f>
        <v>419.79079999999999</v>
      </c>
      <c r="AM84" s="147">
        <f>AM19*('Data Entry'!$D$65/12)</f>
        <v>424.46719999999993</v>
      </c>
      <c r="AN84" s="147">
        <f>AN19*('Data Entry'!$D$65/12)</f>
        <v>429.14359999999999</v>
      </c>
      <c r="AO84" s="147">
        <f>AO19*('Data Entry'!$D$65/12)</f>
        <v>433.82000000000005</v>
      </c>
      <c r="AP84" s="147">
        <f>AP19*('Data Entry'!$D$65/12)</f>
        <v>438.49639999999999</v>
      </c>
      <c r="AQ84" s="147">
        <f>AQ19*('Data Entry'!$D$65/12)</f>
        <v>443.17280000000005</v>
      </c>
      <c r="AR84" s="147">
        <f>AR19*('Data Entry'!$D$65/12)</f>
        <v>447.84919999999994</v>
      </c>
      <c r="AS84" s="147">
        <f>AS19*('Data Entry'!$D$65/12)</f>
        <v>452.52560000000005</v>
      </c>
      <c r="AT84" s="147">
        <f>AT19*('Data Entry'!$D$65/12)</f>
        <v>457.202</v>
      </c>
      <c r="AU84" s="147">
        <f>AU19*('Data Entry'!$D$65/12)</f>
        <v>461.8784</v>
      </c>
      <c r="AV84" s="147">
        <f>AV19*('Data Entry'!$D$65/12)</f>
        <v>466.55479999999994</v>
      </c>
      <c r="AW84" s="147">
        <f>AW19*('Data Entry'!$D$65/12)</f>
        <v>471.2312</v>
      </c>
      <c r="AX84" s="147">
        <f>AX19*('Data Entry'!$D$65/12)</f>
        <v>473.56939999999997</v>
      </c>
      <c r="AY84" s="147">
        <f>AY19*('Data Entry'!$D$65/12)</f>
        <v>475.9076</v>
      </c>
      <c r="AZ84" s="147">
        <f>AZ19*('Data Entry'!$D$65/12)</f>
        <v>478.24580000000003</v>
      </c>
      <c r="BA84" s="147">
        <f>BA19*('Data Entry'!$D$65/12)</f>
        <v>480.584</v>
      </c>
      <c r="BB84" s="147">
        <f>BB19*('Data Entry'!$D$65/12)</f>
        <v>482.92219999999998</v>
      </c>
      <c r="BC84" s="147">
        <f>BC19*('Data Entry'!$D$65/12)</f>
        <v>485.26039999999995</v>
      </c>
      <c r="BD84" s="147">
        <f>BD19*('Data Entry'!$D$65/12)</f>
        <v>487.59860000000003</v>
      </c>
      <c r="BE84" s="147">
        <f>BE19*('Data Entry'!$D$65/12)</f>
        <v>489.93680000000001</v>
      </c>
      <c r="BF84" s="147">
        <f>BF19*('Data Entry'!$D$65/12)</f>
        <v>492.27500000000009</v>
      </c>
      <c r="BG84" s="147">
        <f>BG19*('Data Entry'!$D$65/12)</f>
        <v>494.61320000000006</v>
      </c>
      <c r="BH84" s="147">
        <f>BH19*('Data Entry'!$D$65/12)</f>
        <v>496.95140000000004</v>
      </c>
      <c r="BI84" s="147">
        <f>BI19*('Data Entry'!$D$65/12)</f>
        <v>499.28960000000001</v>
      </c>
      <c r="BJ84" s="147"/>
      <c r="BK84" s="282">
        <f t="shared" si="373"/>
        <v>3325.9272000000001</v>
      </c>
      <c r="BL84" s="147">
        <f t="shared" si="377"/>
        <v>3999.3288000000002</v>
      </c>
      <c r="BM84" s="147">
        <f t="shared" si="374"/>
        <v>4672.7304000000004</v>
      </c>
      <c r="BN84" s="147">
        <f t="shared" si="375"/>
        <v>5346.1319999999996</v>
      </c>
      <c r="BO84" s="147">
        <f t="shared" si="376"/>
        <v>5837.1540000000005</v>
      </c>
      <c r="BP84" s="256"/>
      <c r="BQ84" s="397">
        <f t="shared" si="186"/>
        <v>8.6207914401909783E-3</v>
      </c>
      <c r="BR84" s="393">
        <f t="shared" si="187"/>
        <v>6.001510833794777E-3</v>
      </c>
      <c r="BS84" s="393">
        <f t="shared" si="188"/>
        <v>4.9343965126703989E-3</v>
      </c>
      <c r="BT84" s="393">
        <f t="shared" si="189"/>
        <v>4.3551058812028786E-3</v>
      </c>
      <c r="BU84" s="393">
        <f t="shared" si="190"/>
        <v>4.0758050410310397E-3</v>
      </c>
      <c r="BV84" s="140">
        <v>235</v>
      </c>
      <c r="BW84" s="117" t="s">
        <v>76</v>
      </c>
    </row>
    <row r="85" spans="1:75">
      <c r="A85" s="260" t="s">
        <v>54</v>
      </c>
      <c r="B85" s="147">
        <f>'Data Entry'!$D$67/12*'Data Entry'!$D$86/2080*('Income Statement Projections'!B19-1)</f>
        <v>37.0964423076923</v>
      </c>
      <c r="C85" s="147">
        <f>'Data Entry'!$D$67/12*'Data Entry'!$D$86/2080*('Income Statement Projections'!C19-1)</f>
        <v>40.468846153846144</v>
      </c>
      <c r="D85" s="147">
        <f>'Data Entry'!$D$67/12*'Data Entry'!$D$86/2080*('Income Statement Projections'!D19-1)</f>
        <v>43.841249999999995</v>
      </c>
      <c r="E85" s="147">
        <f>'Data Entry'!$D$67/12*'Data Entry'!$D$86/2080*('Income Statement Projections'!E19-1)</f>
        <v>47.213653846153839</v>
      </c>
      <c r="F85" s="147">
        <f>'Data Entry'!$D$67/12*'Data Entry'!$D$86/2080*('Income Statement Projections'!F19-1)</f>
        <v>50.586057692307691</v>
      </c>
      <c r="G85" s="147">
        <f>'Data Entry'!$D$67/12*'Data Entry'!$D$86/2080*('Income Statement Projections'!G19-1)</f>
        <v>53.958461538461535</v>
      </c>
      <c r="H85" s="147">
        <f>'Data Entry'!$D$67/12*'Data Entry'!$D$86/2080*('Income Statement Projections'!H19-1)</f>
        <v>57.330865384615386</v>
      </c>
      <c r="I85" s="147">
        <f>'Data Entry'!$D$67/12*'Data Entry'!$D$86/2080*('Income Statement Projections'!I19-1)</f>
        <v>60.70326923076923</v>
      </c>
      <c r="J85" s="147">
        <f>'Data Entry'!$D$67/12*'Data Entry'!$D$86/2080*('Income Statement Projections'!J19-1)</f>
        <v>64.075673076923081</v>
      </c>
      <c r="K85" s="147">
        <f>'Data Entry'!$D$67/12*'Data Entry'!$D$86/2080*('Income Statement Projections'!K19-1)</f>
        <v>67.448076923076897</v>
      </c>
      <c r="L85" s="147">
        <f>'Data Entry'!$D$67/12*'Data Entry'!$D$86/2080*('Income Statement Projections'!L19-1)</f>
        <v>70.820480769230784</v>
      </c>
      <c r="M85" s="147">
        <f>'Data Entry'!$D$67/12*'Data Entry'!$D$86/2080*('Income Statement Projections'!M19-1)</f>
        <v>74.1928846153846</v>
      </c>
      <c r="N85" s="147">
        <f>'Data Entry'!$D$67/12*'Data Entry'!$D$86/2080*('Income Statement Projections'!N19-1)</f>
        <v>77.565288461538472</v>
      </c>
      <c r="O85" s="147">
        <f>'Data Entry'!$D$67/12*'Data Entry'!$D$86/2080*('Income Statement Projections'!O19-1)</f>
        <v>80.937692307692288</v>
      </c>
      <c r="P85" s="147">
        <f>'Data Entry'!$D$67/12*'Data Entry'!$D$86/2080*('Income Statement Projections'!P19-1)</f>
        <v>84.310096153846175</v>
      </c>
      <c r="Q85" s="147">
        <f>'Data Entry'!$D$67/12*'Data Entry'!$D$86/2080*('Income Statement Projections'!Q19-1)</f>
        <v>87.682500000000019</v>
      </c>
      <c r="R85" s="147">
        <f>'Data Entry'!$D$67/12*'Data Entry'!$D$86/2080*('Income Statement Projections'!R19-1)</f>
        <v>91.054903846153863</v>
      </c>
      <c r="S85" s="147">
        <f>'Data Entry'!$D$67/12*'Data Entry'!$D$86/2080*('Income Statement Projections'!S19-1)</f>
        <v>94.427307692307679</v>
      </c>
      <c r="T85" s="147">
        <f>'Data Entry'!$D$67/12*'Data Entry'!$D$86/2080*('Income Statement Projections'!T19-1)</f>
        <v>97.799711538461523</v>
      </c>
      <c r="U85" s="147">
        <f>'Data Entry'!$D$67/12*'Data Entry'!$D$86/2080*('Income Statement Projections'!U19-1)</f>
        <v>101.17211538461538</v>
      </c>
      <c r="V85" s="147">
        <f>'Data Entry'!$D$67/12*'Data Entry'!$D$86/2080*('Income Statement Projections'!V19-1)</f>
        <v>104.54451923076923</v>
      </c>
      <c r="W85" s="147">
        <f>'Data Entry'!$D$67/12*'Data Entry'!$D$86/2080*('Income Statement Projections'!W19-1)</f>
        <v>107.91692307692307</v>
      </c>
      <c r="X85" s="147">
        <f>'Data Entry'!$D$67/12*'Data Entry'!$D$86/2080*('Income Statement Projections'!X19-1)</f>
        <v>111.28932692307696</v>
      </c>
      <c r="Y85" s="147">
        <f>'Data Entry'!$D$67/12*'Data Entry'!$D$86/2080*('Income Statement Projections'!Y19-1)</f>
        <v>114.66173076923077</v>
      </c>
      <c r="Z85" s="147">
        <f>'Data Entry'!$D$67/12*'Data Entry'!$D$86/2080*('Income Statement Projections'!Z19-1)</f>
        <v>118.03413461538462</v>
      </c>
      <c r="AA85" s="147">
        <f>'Data Entry'!$D$67/12*'Data Entry'!$D$86/2080*('Income Statement Projections'!AA19-1)</f>
        <v>121.40653846153846</v>
      </c>
      <c r="AB85" s="147">
        <f>'Data Entry'!$D$67/12*'Data Entry'!$D$86/2080*('Income Statement Projections'!AB19-1)</f>
        <v>124.77894230769232</v>
      </c>
      <c r="AC85" s="147">
        <f>'Data Entry'!$D$67/12*'Data Entry'!$D$86/2080*('Income Statement Projections'!AC19-1)</f>
        <v>128.15134615384616</v>
      </c>
      <c r="AD85" s="147">
        <f>'Data Entry'!$D$67/12*'Data Entry'!$D$86/2080*('Income Statement Projections'!AD19-1)</f>
        <v>131.52374999999998</v>
      </c>
      <c r="AE85" s="147">
        <f>'Data Entry'!$D$67/12*'Data Entry'!$D$86/2080*('Income Statement Projections'!AE19-1)</f>
        <v>134.89615384615382</v>
      </c>
      <c r="AF85" s="147">
        <f>'Data Entry'!$D$67/12*'Data Entry'!$D$86/2080*('Income Statement Projections'!AF19-1)</f>
        <v>138.26855769230767</v>
      </c>
      <c r="AG85" s="147">
        <f>'Data Entry'!$D$67/12*'Data Entry'!$D$86/2080*('Income Statement Projections'!AG19-1)</f>
        <v>141.64096153846157</v>
      </c>
      <c r="AH85" s="147">
        <f>'Data Entry'!$D$67/12*'Data Entry'!$D$86/2080*('Income Statement Projections'!AH19-1)</f>
        <v>145.01336538461538</v>
      </c>
      <c r="AI85" s="147">
        <f>'Data Entry'!$D$67/12*'Data Entry'!$D$86/2080*('Income Statement Projections'!AI19-1)</f>
        <v>148.3857692307692</v>
      </c>
      <c r="AJ85" s="147">
        <f>'Data Entry'!$D$67/12*'Data Entry'!$D$86/2080*('Income Statement Projections'!AJ19-1)</f>
        <v>151.75817307692307</v>
      </c>
      <c r="AK85" s="147">
        <f>'Data Entry'!$D$67/12*'Data Entry'!$D$86/2080*('Income Statement Projections'!AK19-1)</f>
        <v>155.13057692307694</v>
      </c>
      <c r="AL85" s="147">
        <f>'Data Entry'!$D$67/12*'Data Entry'!$D$86/2080*('Income Statement Projections'!AL19-1)</f>
        <v>158.50298076923076</v>
      </c>
      <c r="AM85" s="147">
        <f>'Data Entry'!$D$67/12*'Data Entry'!$D$86/2080*('Income Statement Projections'!AM19-1)</f>
        <v>161.87538461538458</v>
      </c>
      <c r="AN85" s="147">
        <f>'Data Entry'!$D$67/12*'Data Entry'!$D$86/2080*('Income Statement Projections'!AN19-1)</f>
        <v>165.24778846153845</v>
      </c>
      <c r="AO85" s="147">
        <f>'Data Entry'!$D$67/12*'Data Entry'!$D$86/2080*('Income Statement Projections'!AO19-1)</f>
        <v>168.62019230769235</v>
      </c>
      <c r="AP85" s="147">
        <f>'Data Entry'!$D$67/12*'Data Entry'!$D$86/2080*('Income Statement Projections'!AP19-1)</f>
        <v>171.99259615384616</v>
      </c>
      <c r="AQ85" s="147">
        <f>'Data Entry'!$D$67/12*'Data Entry'!$D$86/2080*('Income Statement Projections'!AQ19-1)</f>
        <v>175.36500000000004</v>
      </c>
      <c r="AR85" s="147">
        <f>'Data Entry'!$D$67/12*'Data Entry'!$D$86/2080*('Income Statement Projections'!AR19-1)</f>
        <v>178.7374038461538</v>
      </c>
      <c r="AS85" s="147">
        <f>'Data Entry'!$D$67/12*'Data Entry'!$D$86/2080*('Income Statement Projections'!AS19-1)</f>
        <v>182.10980769230773</v>
      </c>
      <c r="AT85" s="147">
        <f>'Data Entry'!$D$67/12*'Data Entry'!$D$86/2080*('Income Statement Projections'!AT19-1)</f>
        <v>185.48221153846154</v>
      </c>
      <c r="AU85" s="147">
        <f>'Data Entry'!$D$67/12*'Data Entry'!$D$86/2080*('Income Statement Projections'!AU19-1)</f>
        <v>188.85461538461536</v>
      </c>
      <c r="AV85" s="147">
        <f>'Data Entry'!$D$67/12*'Data Entry'!$D$86/2080*('Income Statement Projections'!AV19-1)</f>
        <v>192.22701923076917</v>
      </c>
      <c r="AW85" s="147">
        <f>'Data Entry'!$D$67/12*'Data Entry'!$D$86/2080*('Income Statement Projections'!AW19-1)</f>
        <v>195.59942307692305</v>
      </c>
      <c r="AX85" s="147">
        <f>'Data Entry'!$D$67/12*'Data Entry'!$D$86/2080*('Income Statement Projections'!AX19-1)</f>
        <v>197.28562499999995</v>
      </c>
      <c r="AY85" s="147">
        <f>'Data Entry'!$D$67/12*'Data Entry'!$D$86/2080*('Income Statement Projections'!AY19-1)</f>
        <v>198.97182692307695</v>
      </c>
      <c r="AZ85" s="147">
        <f>'Data Entry'!$D$67/12*'Data Entry'!$D$86/2080*('Income Statement Projections'!AZ19-1)</f>
        <v>200.65802884615385</v>
      </c>
      <c r="BA85" s="147">
        <f>'Data Entry'!$D$67/12*'Data Entry'!$D$86/2080*('Income Statement Projections'!BA19-1)</f>
        <v>202.34423076923076</v>
      </c>
      <c r="BB85" s="147">
        <f>'Data Entry'!$D$67/12*'Data Entry'!$D$86/2080*('Income Statement Projections'!BB19-1)</f>
        <v>204.03043269230767</v>
      </c>
      <c r="BC85" s="147">
        <f>'Data Entry'!$D$67/12*'Data Entry'!$D$86/2080*('Income Statement Projections'!BC19-1)</f>
        <v>205.71663461538458</v>
      </c>
      <c r="BD85" s="147">
        <f>'Data Entry'!$D$67/12*'Data Entry'!$D$86/2080*('Income Statement Projections'!BD19-1)</f>
        <v>207.40283653846154</v>
      </c>
      <c r="BE85" s="147">
        <f>'Data Entry'!$D$67/12*'Data Entry'!$D$86/2080*('Income Statement Projections'!BE19-1)</f>
        <v>209.08903846153845</v>
      </c>
      <c r="BF85" s="147">
        <f>'Data Entry'!$D$67/12*'Data Entry'!$D$86/2080*('Income Statement Projections'!BF19-1)</f>
        <v>210.77524038461542</v>
      </c>
      <c r="BG85" s="147">
        <f>'Data Entry'!$D$67/12*'Data Entry'!$D$86/2080*('Income Statement Projections'!BG19-1)</f>
        <v>212.46144230769232</v>
      </c>
      <c r="BH85" s="147">
        <f>'Data Entry'!$D$67/12*'Data Entry'!$D$86/2080*('Income Statement Projections'!BH19-1)</f>
        <v>214.14764423076923</v>
      </c>
      <c r="BI85" s="147">
        <f>'Data Entry'!$D$67/12*'Data Entry'!$D$86/2080*('Income Statement Projections'!BI19-1)</f>
        <v>215.83384615384614</v>
      </c>
      <c r="BJ85" s="147"/>
      <c r="BK85" s="282">
        <f t="shared" si="373"/>
        <v>667.73596153846154</v>
      </c>
      <c r="BL85" s="147">
        <f t="shared" si="377"/>
        <v>1153.3621153846154</v>
      </c>
      <c r="BM85" s="147">
        <f t="shared" si="374"/>
        <v>1638.988269230769</v>
      </c>
      <c r="BN85" s="147">
        <f t="shared" si="375"/>
        <v>2124.6144230769228</v>
      </c>
      <c r="BO85" s="147">
        <f t="shared" si="376"/>
        <v>2478.716826923077</v>
      </c>
      <c r="BP85" s="256"/>
      <c r="BQ85" s="397">
        <f t="shared" si="186"/>
        <v>1.7307692307692308E-3</v>
      </c>
      <c r="BR85" s="393">
        <f t="shared" si="187"/>
        <v>1.7307692307692308E-3</v>
      </c>
      <c r="BS85" s="393">
        <f t="shared" si="188"/>
        <v>1.7307692307692306E-3</v>
      </c>
      <c r="BT85" s="393">
        <f t="shared" si="189"/>
        <v>1.7307692307692306E-3</v>
      </c>
      <c r="BU85" s="393">
        <f t="shared" si="190"/>
        <v>1.7307692307692308E-3</v>
      </c>
      <c r="BV85" s="140"/>
    </row>
    <row r="86" spans="1:75">
      <c r="A86" s="260" t="s">
        <v>75</v>
      </c>
      <c r="B86" s="256">
        <f>B79*'Data Entry'!$D$69</f>
        <v>160.95681666666667</v>
      </c>
      <c r="C86" s="256">
        <f>C79*'Data Entry'!$D$69</f>
        <v>162.71046666666666</v>
      </c>
      <c r="D86" s="256">
        <f>D79*'Data Entry'!$D$69</f>
        <v>164.46411666666668</v>
      </c>
      <c r="E86" s="256">
        <f>E79*'Data Entry'!$D$69</f>
        <v>166.21776666666665</v>
      </c>
      <c r="F86" s="256">
        <f>F79*'Data Entry'!$D$69</f>
        <v>167.97141666666667</v>
      </c>
      <c r="G86" s="256">
        <f>G79*'Data Entry'!$D$69</f>
        <v>169.72506666666669</v>
      </c>
      <c r="H86" s="256">
        <f>H79*'Data Entry'!$D$69</f>
        <v>171.47871666666666</v>
      </c>
      <c r="I86" s="256">
        <f>I79*'Data Entry'!$D$69</f>
        <v>173.23236666666665</v>
      </c>
      <c r="J86" s="256">
        <f>J79*'Data Entry'!$D$69</f>
        <v>174.98601666666667</v>
      </c>
      <c r="K86" s="256">
        <f>K79*'Data Entry'!$D$69</f>
        <v>176.73966666666666</v>
      </c>
      <c r="L86" s="256">
        <f>L79*'Data Entry'!$D$69</f>
        <v>178.49331666666666</v>
      </c>
      <c r="M86" s="256">
        <f>M79*'Data Entry'!$D$69</f>
        <v>180.24696666666668</v>
      </c>
      <c r="N86" s="256">
        <f>N79*'Data Entry'!$D$69</f>
        <v>182.00061666666664</v>
      </c>
      <c r="O86" s="256">
        <f>O79*'Data Entry'!$D$69</f>
        <v>183.75426666666667</v>
      </c>
      <c r="P86" s="256">
        <f>P79*'Data Entry'!$D$69</f>
        <v>185.50791666666666</v>
      </c>
      <c r="Q86" s="256">
        <f>Q79*'Data Entry'!$D$69</f>
        <v>187.26156666666665</v>
      </c>
      <c r="R86" s="256">
        <f>R79*'Data Entry'!$D$69</f>
        <v>189.01521666666667</v>
      </c>
      <c r="S86" s="256">
        <f>S79*'Data Entry'!$D$69</f>
        <v>190.76886666666667</v>
      </c>
      <c r="T86" s="256">
        <f>T79*'Data Entry'!$D$69</f>
        <v>192.52251666666666</v>
      </c>
      <c r="U86" s="256">
        <f>U79*'Data Entry'!$D$69</f>
        <v>194.27616666666665</v>
      </c>
      <c r="V86" s="256">
        <f>V79*'Data Entry'!$D$69</f>
        <v>196.02981666666668</v>
      </c>
      <c r="W86" s="256">
        <f>W79*'Data Entry'!$D$69</f>
        <v>197.78346666666664</v>
      </c>
      <c r="X86" s="256">
        <f>X79*'Data Entry'!$D$69</f>
        <v>199.53711666666666</v>
      </c>
      <c r="Y86" s="256">
        <f>Y79*'Data Entry'!$D$69</f>
        <v>201.29076666666668</v>
      </c>
      <c r="Z86" s="256">
        <f>Z79*'Data Entry'!$D$69</f>
        <v>203.04441666666665</v>
      </c>
      <c r="AA86" s="256">
        <f>AA79*'Data Entry'!$D$69</f>
        <v>204.79806666666664</v>
      </c>
      <c r="AB86" s="256">
        <f>AB79*'Data Entry'!$D$69</f>
        <v>206.55171666666666</v>
      </c>
      <c r="AC86" s="256">
        <f>AC79*'Data Entry'!$D$69</f>
        <v>208.30536666666669</v>
      </c>
      <c r="AD86" s="256">
        <f>AD79*'Data Entry'!$D$69</f>
        <v>210.05901666666665</v>
      </c>
      <c r="AE86" s="256">
        <f>AE79*'Data Entry'!$D$69</f>
        <v>211.81266666666667</v>
      </c>
      <c r="AF86" s="256">
        <f>AF79*'Data Entry'!$D$69</f>
        <v>213.56631666666669</v>
      </c>
      <c r="AG86" s="256">
        <f>AG79*'Data Entry'!$D$69</f>
        <v>215.31996666666666</v>
      </c>
      <c r="AH86" s="256">
        <f>AH79*'Data Entry'!$D$69</f>
        <v>217.07361666666665</v>
      </c>
      <c r="AI86" s="256">
        <f>AI79*'Data Entry'!$D$69</f>
        <v>218.82726666666667</v>
      </c>
      <c r="AJ86" s="256">
        <f>AJ79*'Data Entry'!$D$69</f>
        <v>220.58091666666667</v>
      </c>
      <c r="AK86" s="256">
        <f>AK79*'Data Entry'!$D$69</f>
        <v>222.33456666666666</v>
      </c>
      <c r="AL86" s="256">
        <f>AL79*'Data Entry'!$D$69</f>
        <v>224.08821666666668</v>
      </c>
      <c r="AM86" s="256">
        <f>AM79*'Data Entry'!$D$69</f>
        <v>225.84186666666668</v>
      </c>
      <c r="AN86" s="256">
        <f>AN79*'Data Entry'!$D$69</f>
        <v>227.59551666666667</v>
      </c>
      <c r="AO86" s="256">
        <f>AO79*'Data Entry'!$D$69</f>
        <v>229.34916666666663</v>
      </c>
      <c r="AP86" s="256">
        <f>AP79*'Data Entry'!$D$69</f>
        <v>231.10281666666666</v>
      </c>
      <c r="AQ86" s="256">
        <f>AQ79*'Data Entry'!$D$69</f>
        <v>232.85646666666668</v>
      </c>
      <c r="AR86" s="256">
        <f>AR79*'Data Entry'!$D$69</f>
        <v>234.61011666666667</v>
      </c>
      <c r="AS86" s="256">
        <f>AS79*'Data Entry'!$D$69</f>
        <v>236.36376666666666</v>
      </c>
      <c r="AT86" s="256">
        <f>AT79*'Data Entry'!$D$69</f>
        <v>238.11741666666668</v>
      </c>
      <c r="AU86" s="256">
        <f>AU79*'Data Entry'!$D$69</f>
        <v>239.87106666666668</v>
      </c>
      <c r="AV86" s="256">
        <f>AV79*'Data Entry'!$D$69</f>
        <v>241.62471666666664</v>
      </c>
      <c r="AW86" s="256">
        <f>AW79*'Data Entry'!$D$69</f>
        <v>243.37836666666666</v>
      </c>
      <c r="AX86" s="256">
        <f>AX79*'Data Entry'!$D$69</f>
        <v>244.25519166666666</v>
      </c>
      <c r="AY86" s="256">
        <f>AY79*'Data Entry'!$D$69</f>
        <v>245.13201666666669</v>
      </c>
      <c r="AZ86" s="256">
        <f>AZ79*'Data Entry'!$D$69</f>
        <v>246.00884166666668</v>
      </c>
      <c r="BA86" s="256">
        <f>BA79*'Data Entry'!$D$69</f>
        <v>246.88566666666665</v>
      </c>
      <c r="BB86" s="256">
        <f>BB79*'Data Entry'!$D$69</f>
        <v>247.76249166666668</v>
      </c>
      <c r="BC86" s="256">
        <f>BC79*'Data Entry'!$D$69</f>
        <v>248.63931666666664</v>
      </c>
      <c r="BD86" s="256">
        <f>BD79*'Data Entry'!$D$69</f>
        <v>249.51614166666667</v>
      </c>
      <c r="BE86" s="256">
        <f>BE79*'Data Entry'!$D$69</f>
        <v>250.39296666666667</v>
      </c>
      <c r="BF86" s="256">
        <f>BF79*'Data Entry'!$D$69</f>
        <v>251.26979166666663</v>
      </c>
      <c r="BG86" s="256">
        <f>BG79*'Data Entry'!$D$69</f>
        <v>252.14661666666669</v>
      </c>
      <c r="BH86" s="256">
        <f>BH79*'Data Entry'!$D$69</f>
        <v>253.02344166666666</v>
      </c>
      <c r="BI86" s="256">
        <f>BI79*'Data Entry'!$D$69</f>
        <v>253.90026666666665</v>
      </c>
      <c r="BJ86" s="256"/>
      <c r="BK86" s="282">
        <f t="shared" si="373"/>
        <v>2047.2227</v>
      </c>
      <c r="BL86" s="147">
        <f t="shared" si="377"/>
        <v>2299.7483000000002</v>
      </c>
      <c r="BM86" s="147">
        <f t="shared" si="374"/>
        <v>2552.2739000000001</v>
      </c>
      <c r="BN86" s="147">
        <f t="shared" si="375"/>
        <v>2804.7995000000001</v>
      </c>
      <c r="BO86" s="147">
        <f t="shared" si="376"/>
        <v>2988.9327500000004</v>
      </c>
      <c r="BP86" s="256"/>
      <c r="BQ86" s="397">
        <f t="shared" si="186"/>
        <v>5.3063939368019428E-3</v>
      </c>
      <c r="BR86" s="393">
        <f t="shared" si="187"/>
        <v>3.4510701739379674E-3</v>
      </c>
      <c r="BS86" s="393">
        <f t="shared" si="188"/>
        <v>2.6951975298081989E-3</v>
      </c>
      <c r="BT86" s="393">
        <f t="shared" si="189"/>
        <v>2.2848666658520393E-3</v>
      </c>
      <c r="BU86" s="393">
        <f t="shared" si="190"/>
        <v>2.0870285707303197E-3</v>
      </c>
      <c r="BV86" s="137">
        <v>0.02</v>
      </c>
    </row>
    <row r="87" spans="1:75">
      <c r="A87" s="260" t="s">
        <v>292</v>
      </c>
      <c r="B87" s="256">
        <f>B79*'Data Entry'!$D$68</f>
        <v>56.334885833333331</v>
      </c>
      <c r="C87" s="256">
        <f>C79*'Data Entry'!$D$68</f>
        <v>56.948663333333329</v>
      </c>
      <c r="D87" s="256">
        <f>D79*'Data Entry'!$D$68</f>
        <v>57.562440833333334</v>
      </c>
      <c r="E87" s="256">
        <f>E79*'Data Entry'!$D$68</f>
        <v>58.176218333333331</v>
      </c>
      <c r="F87" s="256">
        <f>F79*'Data Entry'!$D$68</f>
        <v>58.789995833333336</v>
      </c>
      <c r="G87" s="256">
        <f>G79*'Data Entry'!$D$68</f>
        <v>59.403773333333341</v>
      </c>
      <c r="H87" s="256">
        <f>H79*'Data Entry'!$D$68</f>
        <v>60.017550833333331</v>
      </c>
      <c r="I87" s="256">
        <f>I79*'Data Entry'!$D$68</f>
        <v>60.631328333333322</v>
      </c>
      <c r="J87" s="256">
        <f>J79*'Data Entry'!$D$68</f>
        <v>61.245105833333334</v>
      </c>
      <c r="K87" s="256">
        <f>K79*'Data Entry'!$D$68</f>
        <v>61.858883333333338</v>
      </c>
      <c r="L87" s="256">
        <f>L79*'Data Entry'!$D$68</f>
        <v>62.472660833333329</v>
      </c>
      <c r="M87" s="256">
        <f>M79*'Data Entry'!$D$68</f>
        <v>63.086438333333334</v>
      </c>
      <c r="N87" s="256">
        <f>N79*'Data Entry'!$D$68</f>
        <v>63.700215833333324</v>
      </c>
      <c r="O87" s="256">
        <f>O79*'Data Entry'!$D$68</f>
        <v>64.313993333333329</v>
      </c>
      <c r="P87" s="256">
        <f>P79*'Data Entry'!$D$68</f>
        <v>64.927770833333327</v>
      </c>
      <c r="Q87" s="256">
        <f>Q79*'Data Entry'!$D$68</f>
        <v>65.541548333333338</v>
      </c>
      <c r="R87" s="256">
        <f>R79*'Data Entry'!$D$68</f>
        <v>66.155325833333336</v>
      </c>
      <c r="S87" s="256">
        <f>S79*'Data Entry'!$D$68</f>
        <v>66.769103333333334</v>
      </c>
      <c r="T87" s="256">
        <f>T79*'Data Entry'!$D$68</f>
        <v>67.382880833333331</v>
      </c>
      <c r="U87" s="256">
        <f>U79*'Data Entry'!$D$68</f>
        <v>67.996658333333329</v>
      </c>
      <c r="V87" s="256">
        <f>V79*'Data Entry'!$D$68</f>
        <v>68.610435833333341</v>
      </c>
      <c r="W87" s="256">
        <f>W79*'Data Entry'!$D$68</f>
        <v>69.224213333333324</v>
      </c>
      <c r="X87" s="256">
        <f>X79*'Data Entry'!$D$68</f>
        <v>69.837990833333336</v>
      </c>
      <c r="Y87" s="256">
        <f>Y79*'Data Entry'!$D$68</f>
        <v>70.451768333333334</v>
      </c>
      <c r="Z87" s="256">
        <f>Z79*'Data Entry'!$D$68</f>
        <v>71.065545833333331</v>
      </c>
      <c r="AA87" s="256">
        <f>AA79*'Data Entry'!$D$68</f>
        <v>71.679323333333329</v>
      </c>
      <c r="AB87" s="256">
        <f>AB79*'Data Entry'!$D$68</f>
        <v>72.293100833333327</v>
      </c>
      <c r="AC87" s="256">
        <f>AC79*'Data Entry'!$D$68</f>
        <v>72.906878333333339</v>
      </c>
      <c r="AD87" s="256">
        <f>AD79*'Data Entry'!$D$68</f>
        <v>73.520655833333322</v>
      </c>
      <c r="AE87" s="256">
        <f>AE79*'Data Entry'!$D$68</f>
        <v>74.134433333333334</v>
      </c>
      <c r="AF87" s="256">
        <f>AF79*'Data Entry'!$D$68</f>
        <v>74.748210833333346</v>
      </c>
      <c r="AG87" s="256">
        <f>AG79*'Data Entry'!$D$68</f>
        <v>75.361988333333329</v>
      </c>
      <c r="AH87" s="256">
        <f>AH79*'Data Entry'!$D$68</f>
        <v>75.975765833333327</v>
      </c>
      <c r="AI87" s="256">
        <f>AI79*'Data Entry'!$D$68</f>
        <v>76.589543333333324</v>
      </c>
      <c r="AJ87" s="256">
        <f>AJ79*'Data Entry'!$D$68</f>
        <v>77.203320833333336</v>
      </c>
      <c r="AK87" s="256">
        <f>AK79*'Data Entry'!$D$68</f>
        <v>77.817098333333334</v>
      </c>
      <c r="AL87" s="256">
        <f>AL79*'Data Entry'!$D$68</f>
        <v>78.430875833333332</v>
      </c>
      <c r="AM87" s="256">
        <f>AM79*'Data Entry'!$D$68</f>
        <v>79.044653333333343</v>
      </c>
      <c r="AN87" s="256">
        <f>AN79*'Data Entry'!$D$68</f>
        <v>79.658430833333327</v>
      </c>
      <c r="AO87" s="256">
        <f>AO79*'Data Entry'!$D$68</f>
        <v>80.272208333333325</v>
      </c>
      <c r="AP87" s="256">
        <f>AP79*'Data Entry'!$D$68</f>
        <v>80.885985833333336</v>
      </c>
      <c r="AQ87" s="256">
        <f>AQ79*'Data Entry'!$D$68</f>
        <v>81.499763333333334</v>
      </c>
      <c r="AR87" s="256">
        <f>AR79*'Data Entry'!$D$68</f>
        <v>82.113540833333332</v>
      </c>
      <c r="AS87" s="256">
        <f>AS79*'Data Entry'!$D$68</f>
        <v>82.727318333333329</v>
      </c>
      <c r="AT87" s="256">
        <f>AT79*'Data Entry'!$D$68</f>
        <v>83.341095833333341</v>
      </c>
      <c r="AU87" s="256">
        <f>AU79*'Data Entry'!$D$68</f>
        <v>83.954873333333339</v>
      </c>
      <c r="AV87" s="256">
        <f>AV79*'Data Entry'!$D$68</f>
        <v>84.568650833333322</v>
      </c>
      <c r="AW87" s="256">
        <f>AW79*'Data Entry'!$D$68</f>
        <v>85.182428333333334</v>
      </c>
      <c r="AX87" s="256">
        <f>AX79*'Data Entry'!$D$68</f>
        <v>85.489317083333333</v>
      </c>
      <c r="AY87" s="256">
        <f>AY79*'Data Entry'!$D$68</f>
        <v>85.796205833333346</v>
      </c>
      <c r="AZ87" s="256">
        <f>AZ79*'Data Entry'!$D$68</f>
        <v>86.103094583333331</v>
      </c>
      <c r="BA87" s="256">
        <f>BA79*'Data Entry'!$D$68</f>
        <v>86.409983333333329</v>
      </c>
      <c r="BB87" s="256">
        <f>BB79*'Data Entry'!$D$68</f>
        <v>86.716872083333342</v>
      </c>
      <c r="BC87" s="256">
        <f>BC79*'Data Entry'!$D$68</f>
        <v>87.023760833333327</v>
      </c>
      <c r="BD87" s="256">
        <f>BD79*'Data Entry'!$D$68</f>
        <v>87.33064958333334</v>
      </c>
      <c r="BE87" s="256">
        <f>BE79*'Data Entry'!$D$68</f>
        <v>87.637538333333325</v>
      </c>
      <c r="BF87" s="256">
        <f>BF79*'Data Entry'!$D$68</f>
        <v>87.944427083333323</v>
      </c>
      <c r="BG87" s="256">
        <f>BG79*'Data Entry'!$D$68</f>
        <v>88.251315833333337</v>
      </c>
      <c r="BH87" s="256">
        <f>BH79*'Data Entry'!$D$68</f>
        <v>88.558204583333335</v>
      </c>
      <c r="BI87" s="256">
        <f>BI79*'Data Entry'!$D$68</f>
        <v>88.865093333333334</v>
      </c>
      <c r="BJ87" s="256"/>
      <c r="BK87" s="282">
        <f>SUM(B87:M87)</f>
        <v>716.52794499999993</v>
      </c>
      <c r="BL87" s="147">
        <f t="shared" si="377"/>
        <v>804.91190499999993</v>
      </c>
      <c r="BM87" s="147">
        <f t="shared" si="374"/>
        <v>893.29586499999982</v>
      </c>
      <c r="BN87" s="147">
        <f t="shared" si="375"/>
        <v>981.67982499999994</v>
      </c>
      <c r="BO87" s="147">
        <f t="shared" si="376"/>
        <v>1046.1264624999999</v>
      </c>
      <c r="BP87" s="256"/>
      <c r="BQ87" s="397">
        <f t="shared" si="186"/>
        <v>1.8572378778806799E-3</v>
      </c>
      <c r="BR87" s="393">
        <f t="shared" si="187"/>
        <v>1.2078745608782883E-3</v>
      </c>
      <c r="BS87" s="393">
        <f t="shared" si="188"/>
        <v>9.4331913543286943E-4</v>
      </c>
      <c r="BT87" s="393">
        <f t="shared" si="189"/>
        <v>7.9970333304821371E-4</v>
      </c>
      <c r="BU87" s="393">
        <f t="shared" si="190"/>
        <v>7.3045999975561166E-4</v>
      </c>
      <c r="BV87" s="137">
        <v>0.02</v>
      </c>
    </row>
    <row r="88" spans="1:75">
      <c r="A88" s="129" t="s">
        <v>319</v>
      </c>
      <c r="B88" s="257">
        <f>SUM(B81:B87)</f>
        <v>1195.9787477580157</v>
      </c>
      <c r="C88" s="257">
        <f t="shared" ref="C88:BI88" si="378">SUM(C81:C87)</f>
        <v>1214.4106019280155</v>
      </c>
      <c r="D88" s="257">
        <f t="shared" si="378"/>
        <v>1232.842456098015</v>
      </c>
      <c r="E88" s="257">
        <f t="shared" si="378"/>
        <v>1251.2743102680145</v>
      </c>
      <c r="F88" s="257">
        <f t="shared" si="378"/>
        <v>1269.7061644380142</v>
      </c>
      <c r="G88" s="257">
        <f t="shared" si="378"/>
        <v>1288.1380186080137</v>
      </c>
      <c r="H88" s="257">
        <f t="shared" si="378"/>
        <v>1306.5698727780134</v>
      </c>
      <c r="I88" s="257">
        <f t="shared" si="378"/>
        <v>1325.0017269480124</v>
      </c>
      <c r="J88" s="257">
        <f t="shared" si="378"/>
        <v>1343.4335811180122</v>
      </c>
      <c r="K88" s="257">
        <f t="shared" si="378"/>
        <v>1361.8654352880117</v>
      </c>
      <c r="L88" s="257">
        <f t="shared" si="378"/>
        <v>1380.2972894580112</v>
      </c>
      <c r="M88" s="257">
        <f t="shared" si="378"/>
        <v>1398.7291436280109</v>
      </c>
      <c r="N88" s="257">
        <f t="shared" si="378"/>
        <v>1417.1609977980104</v>
      </c>
      <c r="O88" s="257">
        <f t="shared" si="378"/>
        <v>1435.5928519680099</v>
      </c>
      <c r="P88" s="257">
        <f t="shared" si="378"/>
        <v>1454.0247061380096</v>
      </c>
      <c r="Q88" s="257">
        <f t="shared" si="378"/>
        <v>1472.4565603080091</v>
      </c>
      <c r="R88" s="257">
        <f t="shared" si="378"/>
        <v>1490.8884144780086</v>
      </c>
      <c r="S88" s="257">
        <f t="shared" si="378"/>
        <v>1509.3202686480083</v>
      </c>
      <c r="T88" s="257">
        <f t="shared" si="378"/>
        <v>1527.7521228180076</v>
      </c>
      <c r="U88" s="257">
        <f t="shared" si="378"/>
        <v>1546.1839769880069</v>
      </c>
      <c r="V88" s="257">
        <f t="shared" si="378"/>
        <v>1564.615831158007</v>
      </c>
      <c r="W88" s="257">
        <f t="shared" si="378"/>
        <v>1583.0476853280061</v>
      </c>
      <c r="X88" s="257">
        <f t="shared" si="378"/>
        <v>1601.479539498006</v>
      </c>
      <c r="Y88" s="257">
        <f t="shared" si="378"/>
        <v>1619.9113936680058</v>
      </c>
      <c r="Z88" s="257">
        <f t="shared" si="378"/>
        <v>1638.343247838005</v>
      </c>
      <c r="AA88" s="257">
        <f t="shared" si="378"/>
        <v>1656.7751020080048</v>
      </c>
      <c r="AB88" s="257">
        <f t="shared" si="378"/>
        <v>1675.206956178004</v>
      </c>
      <c r="AC88" s="257">
        <f t="shared" si="378"/>
        <v>1693.638810348004</v>
      </c>
      <c r="AD88" s="257">
        <f t="shared" si="378"/>
        <v>1712.0706645180032</v>
      </c>
      <c r="AE88" s="257">
        <f t="shared" si="378"/>
        <v>1730.5025186880027</v>
      </c>
      <c r="AF88" s="257">
        <f t="shared" si="378"/>
        <v>1748.9343728580025</v>
      </c>
      <c r="AG88" s="257">
        <f t="shared" si="378"/>
        <v>1767.366227028002</v>
      </c>
      <c r="AH88" s="257">
        <f t="shared" si="378"/>
        <v>1785.7980811980012</v>
      </c>
      <c r="AI88" s="257">
        <f t="shared" si="378"/>
        <v>1804.2299353680007</v>
      </c>
      <c r="AJ88" s="257">
        <f t="shared" si="378"/>
        <v>1822.6617895380004</v>
      </c>
      <c r="AK88" s="257">
        <f t="shared" si="378"/>
        <v>1841.0936437080002</v>
      </c>
      <c r="AL88" s="257">
        <f t="shared" si="378"/>
        <v>1859.5254978779999</v>
      </c>
      <c r="AM88" s="257">
        <f t="shared" si="378"/>
        <v>1877.9573520479992</v>
      </c>
      <c r="AN88" s="257">
        <f t="shared" si="378"/>
        <v>1896.3892062179989</v>
      </c>
      <c r="AO88" s="257">
        <f t="shared" si="378"/>
        <v>1914.8210603879982</v>
      </c>
      <c r="AP88" s="257">
        <f t="shared" si="378"/>
        <v>1933.2529145579979</v>
      </c>
      <c r="AQ88" s="257">
        <f t="shared" si="378"/>
        <v>1951.6847687279972</v>
      </c>
      <c r="AR88" s="257">
        <f t="shared" si="378"/>
        <v>1970.1166228979964</v>
      </c>
      <c r="AS88" s="257">
        <f t="shared" si="378"/>
        <v>1988.5484770679964</v>
      </c>
      <c r="AT88" s="257">
        <f t="shared" si="378"/>
        <v>2006.9803312379963</v>
      </c>
      <c r="AU88" s="257">
        <f t="shared" si="378"/>
        <v>2025.4121854079954</v>
      </c>
      <c r="AV88" s="257">
        <f t="shared" si="378"/>
        <v>2043.8440395779949</v>
      </c>
      <c r="AW88" s="257">
        <f t="shared" si="378"/>
        <v>2062.2758937479948</v>
      </c>
      <c r="AX88" s="257">
        <f t="shared" si="378"/>
        <v>2071.4918208329946</v>
      </c>
      <c r="AY88" s="257">
        <f t="shared" si="378"/>
        <v>2080.7077479179943</v>
      </c>
      <c r="AZ88" s="257">
        <f t="shared" si="378"/>
        <v>2089.9236750029941</v>
      </c>
      <c r="BA88" s="257">
        <f t="shared" si="378"/>
        <v>2099.1396020879938</v>
      </c>
      <c r="BB88" s="257">
        <f t="shared" si="378"/>
        <v>2108.3555291729936</v>
      </c>
      <c r="BC88" s="257">
        <f t="shared" si="378"/>
        <v>2117.5714562579928</v>
      </c>
      <c r="BD88" s="257">
        <f t="shared" si="378"/>
        <v>2126.7873833429931</v>
      </c>
      <c r="BE88" s="257">
        <f t="shared" si="378"/>
        <v>2136.0033104279928</v>
      </c>
      <c r="BF88" s="257">
        <f t="shared" si="378"/>
        <v>2145.2192375129925</v>
      </c>
      <c r="BG88" s="257">
        <f t="shared" si="378"/>
        <v>2154.4351645979923</v>
      </c>
      <c r="BH88" s="257">
        <f t="shared" si="378"/>
        <v>2163.651091682992</v>
      </c>
      <c r="BI88" s="257">
        <f t="shared" si="378"/>
        <v>2172.8670187679918</v>
      </c>
      <c r="BJ88" s="283"/>
      <c r="BK88" s="284">
        <f t="shared" si="373"/>
        <v>15568.247348316156</v>
      </c>
      <c r="BL88" s="257">
        <f t="shared" si="377"/>
        <v>18222.434348796094</v>
      </c>
      <c r="BM88" s="257">
        <f t="shared" si="374"/>
        <v>20876.621349276033</v>
      </c>
      <c r="BN88" s="257">
        <f t="shared" si="375"/>
        <v>23530.808349755967</v>
      </c>
      <c r="BO88" s="257">
        <f t="shared" si="376"/>
        <v>25466.15303760592</v>
      </c>
      <c r="BP88" s="256"/>
      <c r="BQ88" s="404">
        <f t="shared" si="186"/>
        <v>4.0352841601325434E-2</v>
      </c>
      <c r="BR88" s="398">
        <f t="shared" si="187"/>
        <v>2.734512280220967E-2</v>
      </c>
      <c r="BS88" s="398">
        <f t="shared" si="188"/>
        <v>2.2045681809977319E-2</v>
      </c>
      <c r="BT88" s="398">
        <f t="shared" si="189"/>
        <v>1.9168842414194042E-2</v>
      </c>
      <c r="BU88" s="398">
        <f t="shared" si="190"/>
        <v>1.7781794848369961E-2</v>
      </c>
      <c r="BV88" s="137"/>
    </row>
    <row r="89" spans="1:75">
      <c r="A89" s="134"/>
      <c r="B89" s="146"/>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28"/>
      <c r="BL89" s="146"/>
      <c r="BM89" s="146"/>
      <c r="BN89" s="146"/>
      <c r="BO89" s="146"/>
      <c r="BP89" s="146"/>
      <c r="BQ89" s="397"/>
      <c r="BR89" s="144"/>
      <c r="BS89" s="144"/>
      <c r="BT89" s="144"/>
      <c r="BU89" s="144"/>
      <c r="BV89" s="137"/>
    </row>
    <row r="90" spans="1:75">
      <c r="A90" s="134"/>
      <c r="B90" s="146"/>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28"/>
      <c r="BL90" s="146"/>
      <c r="BM90" s="146"/>
      <c r="BN90" s="146"/>
      <c r="BO90" s="146"/>
      <c r="BP90" s="146"/>
      <c r="BQ90" s="397"/>
      <c r="BR90" s="144"/>
      <c r="BS90" s="144"/>
      <c r="BT90" s="144"/>
      <c r="BU90" s="144"/>
      <c r="BV90" s="149">
        <v>5.7500000000000002E-2</v>
      </c>
    </row>
    <row r="91" spans="1:75">
      <c r="A91" s="261" t="s">
        <v>321</v>
      </c>
      <c r="B91" s="146"/>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28"/>
      <c r="BL91" s="146"/>
      <c r="BM91" s="146"/>
      <c r="BN91" s="146"/>
      <c r="BO91" s="146"/>
      <c r="BP91" s="146"/>
      <c r="BQ91" s="397"/>
      <c r="BR91" s="144"/>
      <c r="BS91" s="144"/>
      <c r="BT91" s="144"/>
      <c r="BU91" s="144"/>
      <c r="BV91" s="149"/>
    </row>
    <row r="92" spans="1:75">
      <c r="A92" s="261" t="s">
        <v>516</v>
      </c>
      <c r="B92" s="146">
        <f>'APPENDIX - Startup Costs'!B35</f>
        <v>35897.5</v>
      </c>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28"/>
      <c r="BL92" s="146"/>
      <c r="BM92" s="146"/>
      <c r="BN92" s="146"/>
      <c r="BO92" s="146"/>
      <c r="BP92" s="146"/>
      <c r="BQ92" s="397"/>
      <c r="BR92" s="144"/>
      <c r="BS92" s="144"/>
      <c r="BT92" s="144"/>
      <c r="BU92" s="144"/>
      <c r="BV92" s="149"/>
    </row>
    <row r="93" spans="1:75">
      <c r="A93" s="262" t="s">
        <v>343</v>
      </c>
      <c r="B93" s="147">
        <f>Sheet4!$B$10*B36</f>
        <v>0</v>
      </c>
      <c r="C93" s="147">
        <f>Sheet4!$B$10*C36</f>
        <v>0</v>
      </c>
      <c r="D93" s="147">
        <f>Sheet4!$B$10*D36</f>
        <v>0</v>
      </c>
      <c r="E93" s="147">
        <f>Sheet4!$B$10*E36</f>
        <v>0</v>
      </c>
      <c r="F93" s="147">
        <f>Sheet4!$B$10*F36</f>
        <v>0</v>
      </c>
      <c r="G93" s="147">
        <f>Sheet4!$B$10*G36</f>
        <v>0</v>
      </c>
      <c r="H93" s="147">
        <f>Sheet4!$B$10*H36</f>
        <v>0</v>
      </c>
      <c r="I93" s="147">
        <f>Sheet4!$B$10*I36</f>
        <v>0</v>
      </c>
      <c r="J93" s="147">
        <f>Sheet4!$B$10*J36</f>
        <v>0</v>
      </c>
      <c r="K93" s="147">
        <f>Sheet4!$B$10*K36</f>
        <v>0</v>
      </c>
      <c r="L93" s="147">
        <f>Sheet4!$B$10*L36</f>
        <v>0</v>
      </c>
      <c r="M93" s="147">
        <f>Sheet4!$B$10*M36</f>
        <v>0</v>
      </c>
      <c r="N93" s="147">
        <f>Sheet4!$B$10*N36</f>
        <v>0</v>
      </c>
      <c r="O93" s="147">
        <f>Sheet4!$B$10*O36</f>
        <v>0</v>
      </c>
      <c r="P93" s="147">
        <f>Sheet4!$B$10*P36</f>
        <v>0</v>
      </c>
      <c r="Q93" s="147">
        <f>Sheet4!$B$10*Q36</f>
        <v>0</v>
      </c>
      <c r="R93" s="147">
        <f>Sheet4!$B$10*R36</f>
        <v>0</v>
      </c>
      <c r="S93" s="147">
        <f>Sheet4!$B$10*S36</f>
        <v>0</v>
      </c>
      <c r="T93" s="147">
        <f>Sheet4!$B$10*T36</f>
        <v>0</v>
      </c>
      <c r="U93" s="147">
        <f>Sheet4!$B$10*U36</f>
        <v>0</v>
      </c>
      <c r="V93" s="147">
        <f>Sheet4!$B$10*V36</f>
        <v>0</v>
      </c>
      <c r="W93" s="147">
        <f>Sheet4!$B$10*W36</f>
        <v>0</v>
      </c>
      <c r="X93" s="147">
        <f>Sheet4!$B$10*X36</f>
        <v>0</v>
      </c>
      <c r="Y93" s="147">
        <f>Sheet4!$B$10*Y36</f>
        <v>0</v>
      </c>
      <c r="Z93" s="147">
        <f>Sheet4!$B$10*Z36</f>
        <v>0</v>
      </c>
      <c r="AA93" s="147">
        <f>Sheet4!$B$10*AA36</f>
        <v>0</v>
      </c>
      <c r="AB93" s="147">
        <f>Sheet4!$B$10*AB36</f>
        <v>0</v>
      </c>
      <c r="AC93" s="147">
        <f>Sheet4!$B$10*AC36</f>
        <v>0</v>
      </c>
      <c r="AD93" s="147">
        <f>Sheet4!$B$10*AD36</f>
        <v>0</v>
      </c>
      <c r="AE93" s="147">
        <f>Sheet4!$B$10*AE36</f>
        <v>0</v>
      </c>
      <c r="AF93" s="147">
        <f>Sheet4!$B$10*AF36</f>
        <v>0</v>
      </c>
      <c r="AG93" s="147">
        <f>Sheet4!$B$10*AG36</f>
        <v>0</v>
      </c>
      <c r="AH93" s="147">
        <f>Sheet4!$B$10*AH36</f>
        <v>0</v>
      </c>
      <c r="AI93" s="147">
        <f>Sheet4!$B$10*AI36</f>
        <v>0</v>
      </c>
      <c r="AJ93" s="147">
        <f>Sheet4!$B$10*AJ36</f>
        <v>0</v>
      </c>
      <c r="AK93" s="147">
        <f>Sheet4!$B$10*AK36</f>
        <v>0</v>
      </c>
      <c r="AL93" s="147">
        <f>Sheet4!$B$10*AL36</f>
        <v>0</v>
      </c>
      <c r="AM93" s="147">
        <f>Sheet4!$B$10*AM36</f>
        <v>0</v>
      </c>
      <c r="AN93" s="147">
        <f>Sheet4!$B$10*AN36</f>
        <v>0</v>
      </c>
      <c r="AO93" s="147">
        <f>Sheet4!$B$10*AO36</f>
        <v>0</v>
      </c>
      <c r="AP93" s="147">
        <f>Sheet4!$B$10*AP36</f>
        <v>0</v>
      </c>
      <c r="AQ93" s="147">
        <f>Sheet4!$B$10*AQ36</f>
        <v>0</v>
      </c>
      <c r="AR93" s="147">
        <f>Sheet4!$B$10*AR36</f>
        <v>0</v>
      </c>
      <c r="AS93" s="147">
        <f>Sheet4!$B$10*AS36</f>
        <v>0</v>
      </c>
      <c r="AT93" s="147">
        <f>Sheet4!$B$10*AT36</f>
        <v>0</v>
      </c>
      <c r="AU93" s="147">
        <f>Sheet4!$B$10*AU36</f>
        <v>0</v>
      </c>
      <c r="AV93" s="147">
        <f>Sheet4!$B$10*AV36</f>
        <v>0</v>
      </c>
      <c r="AW93" s="147">
        <f>Sheet4!$B$10*AW36</f>
        <v>0</v>
      </c>
      <c r="AX93" s="147">
        <f>Sheet4!$B$10*AX36</f>
        <v>0</v>
      </c>
      <c r="AY93" s="147">
        <f>Sheet4!$B$10*AY36</f>
        <v>0</v>
      </c>
      <c r="AZ93" s="147">
        <f>Sheet4!$B$10*AZ36</f>
        <v>0</v>
      </c>
      <c r="BA93" s="147">
        <f>Sheet4!$B$10*BA36</f>
        <v>0</v>
      </c>
      <c r="BB93" s="147">
        <f>Sheet4!$B$10*BB36</f>
        <v>0</v>
      </c>
      <c r="BC93" s="147">
        <f>Sheet4!$B$10*BC36</f>
        <v>0</v>
      </c>
      <c r="BD93" s="147">
        <f>Sheet4!$B$10*BD36</f>
        <v>0</v>
      </c>
      <c r="BE93" s="147">
        <f>Sheet4!$B$10*BE36</f>
        <v>0</v>
      </c>
      <c r="BF93" s="147">
        <f>Sheet4!$B$10*BF36</f>
        <v>0</v>
      </c>
      <c r="BG93" s="147">
        <f>Sheet4!$B$10*BG36</f>
        <v>0</v>
      </c>
      <c r="BH93" s="147">
        <f>Sheet4!$B$10*BH36</f>
        <v>0</v>
      </c>
      <c r="BI93" s="147">
        <f>Sheet4!$B$10*BI36</f>
        <v>0</v>
      </c>
      <c r="BJ93" s="147"/>
      <c r="BK93" s="282">
        <f t="shared" si="373"/>
        <v>0</v>
      </c>
      <c r="BL93" s="147">
        <f t="shared" ref="BL93:BL102" si="379">SUM(N93:Y93)</f>
        <v>0</v>
      </c>
      <c r="BM93" s="147">
        <f t="shared" ref="BM93:BM103" si="380">SUM(Z93:AK93)</f>
        <v>0</v>
      </c>
      <c r="BN93" s="147">
        <f t="shared" ref="BN93:BN103" si="381">SUM(AL93:AW93)</f>
        <v>0</v>
      </c>
      <c r="BO93" s="147">
        <f t="shared" ref="BO93:BO103" si="382">SUM(AX93:BI93)</f>
        <v>0</v>
      </c>
      <c r="BP93" s="256"/>
      <c r="BQ93" s="397">
        <f t="shared" si="186"/>
        <v>0</v>
      </c>
      <c r="BR93" s="393">
        <f t="shared" si="187"/>
        <v>0</v>
      </c>
      <c r="BS93" s="393">
        <f t="shared" si="188"/>
        <v>0</v>
      </c>
      <c r="BT93" s="393">
        <f t="shared" si="189"/>
        <v>0</v>
      </c>
      <c r="BU93" s="393">
        <f t="shared" si="190"/>
        <v>0</v>
      </c>
    </row>
    <row r="94" spans="1:75">
      <c r="A94" s="262" t="s">
        <v>0</v>
      </c>
      <c r="B94" s="147">
        <f>Sheet4!$B$12*B36</f>
        <v>63.803350196159407</v>
      </c>
      <c r="C94" s="147">
        <f>Sheet4!$B$12*C36</f>
        <v>69.603654759446627</v>
      </c>
      <c r="D94" s="147">
        <f>Sheet4!$B$12*D36</f>
        <v>75.40395932273384</v>
      </c>
      <c r="E94" s="147">
        <f>Sheet4!$B$12*E36</f>
        <v>81.204263886021067</v>
      </c>
      <c r="F94" s="147">
        <f>Sheet4!$B$12*F36</f>
        <v>87.00456844930828</v>
      </c>
      <c r="G94" s="147">
        <f>Sheet4!$B$12*G36</f>
        <v>92.804873012595493</v>
      </c>
      <c r="H94" s="147">
        <f>Sheet4!$B$12*H36</f>
        <v>98.60517757588272</v>
      </c>
      <c r="I94" s="147">
        <f>Sheet4!$B$12*I36</f>
        <v>104.40548213916993</v>
      </c>
      <c r="J94" s="147">
        <f>Sheet4!$B$12*J36</f>
        <v>110.20578670245716</v>
      </c>
      <c r="K94" s="147">
        <f>Sheet4!$B$12*K36</f>
        <v>116.00609126574437</v>
      </c>
      <c r="L94" s="147">
        <f>Sheet4!$B$12*L36</f>
        <v>121.80639582903159</v>
      </c>
      <c r="M94" s="147">
        <f>Sheet4!$B$12*M36</f>
        <v>127.60670039231881</v>
      </c>
      <c r="N94" s="147">
        <f>Sheet4!$B$12*N36</f>
        <v>133.40700495560603</v>
      </c>
      <c r="O94" s="147">
        <f>Sheet4!$B$12*O36</f>
        <v>139.20730951889325</v>
      </c>
      <c r="P94" s="147">
        <f>Sheet4!$B$12*P36</f>
        <v>145.00761408218048</v>
      </c>
      <c r="Q94" s="147">
        <f>Sheet4!$B$12*Q36</f>
        <v>150.80791864546768</v>
      </c>
      <c r="R94" s="147">
        <f>Sheet4!$B$12*R36</f>
        <v>156.60822320875491</v>
      </c>
      <c r="S94" s="147">
        <f>Sheet4!$B$12*S36</f>
        <v>162.40852777204213</v>
      </c>
      <c r="T94" s="147">
        <f>Sheet4!$B$12*T36</f>
        <v>168.20883233532933</v>
      </c>
      <c r="U94" s="147">
        <f>Sheet4!$B$12*U36</f>
        <v>174.00913689861656</v>
      </c>
      <c r="V94" s="147">
        <f>Sheet4!$B$12*V36</f>
        <v>179.80944146190379</v>
      </c>
      <c r="W94" s="147">
        <f>Sheet4!$B$12*W36</f>
        <v>185.60974602519099</v>
      </c>
      <c r="X94" s="147">
        <f>Sheet4!$B$12*X36</f>
        <v>191.41005058847821</v>
      </c>
      <c r="Y94" s="147">
        <f>Sheet4!$B$12*Y36</f>
        <v>197.21035515176544</v>
      </c>
      <c r="Z94" s="147">
        <f>Sheet4!$B$12*Z36</f>
        <v>203.01065971505267</v>
      </c>
      <c r="AA94" s="147">
        <f>Sheet4!$B$12*AA36</f>
        <v>208.81096427833987</v>
      </c>
      <c r="AB94" s="147">
        <f>Sheet4!$B$12*AB36</f>
        <v>214.61126884162709</v>
      </c>
      <c r="AC94" s="147">
        <f>Sheet4!$B$12*AC36</f>
        <v>220.41157340491432</v>
      </c>
      <c r="AD94" s="147">
        <f>Sheet4!$B$12*AD36</f>
        <v>226.21187796820152</v>
      </c>
      <c r="AE94" s="147">
        <f>Sheet4!$B$12*AE36</f>
        <v>232.01218253148875</v>
      </c>
      <c r="AF94" s="147">
        <f>Sheet4!$B$12*AF36</f>
        <v>237.81248709477597</v>
      </c>
      <c r="AG94" s="147">
        <f>Sheet4!$B$12*AG36</f>
        <v>243.61279165806317</v>
      </c>
      <c r="AH94" s="147">
        <f>Sheet4!$B$12*AH36</f>
        <v>249.4130962213504</v>
      </c>
      <c r="AI94" s="147">
        <f>Sheet4!$B$12*AI36</f>
        <v>255.21340078463763</v>
      </c>
      <c r="AJ94" s="147">
        <f>Sheet4!$B$12*AJ36</f>
        <v>261.01370534792483</v>
      </c>
      <c r="AK94" s="147">
        <f>Sheet4!$B$12*AK36</f>
        <v>266.81400991121205</v>
      </c>
      <c r="AL94" s="147">
        <f>Sheet4!$B$12*AL36</f>
        <v>272.61431447449928</v>
      </c>
      <c r="AM94" s="147">
        <f>Sheet4!$B$12*AM36</f>
        <v>278.41461903778651</v>
      </c>
      <c r="AN94" s="147">
        <f>Sheet4!$B$12*AN36</f>
        <v>284.21492360107374</v>
      </c>
      <c r="AO94" s="147">
        <f>Sheet4!$B$12*AO36</f>
        <v>290.01522816436096</v>
      </c>
      <c r="AP94" s="147">
        <f>Sheet4!$B$12*AP36</f>
        <v>295.81553272764813</v>
      </c>
      <c r="AQ94" s="147">
        <f>Sheet4!$B$12*AQ36</f>
        <v>301.61583729093536</v>
      </c>
      <c r="AR94" s="147">
        <f>Sheet4!$B$12*AR36</f>
        <v>307.41614185422259</v>
      </c>
      <c r="AS94" s="147">
        <f>Sheet4!$B$12*AS36</f>
        <v>313.21644641750981</v>
      </c>
      <c r="AT94" s="147">
        <f>Sheet4!$B$12*AT36</f>
        <v>319.01675098079704</v>
      </c>
      <c r="AU94" s="147">
        <f>Sheet4!$B$12*AU36</f>
        <v>324.81705554408427</v>
      </c>
      <c r="AV94" s="147">
        <f>Sheet4!$B$12*AV36</f>
        <v>330.61736010737144</v>
      </c>
      <c r="AW94" s="147">
        <f>Sheet4!$B$12*AW36</f>
        <v>336.41766467065867</v>
      </c>
      <c r="AX94" s="147">
        <f>Sheet4!$B$12*AX36</f>
        <v>339.31781695230228</v>
      </c>
      <c r="AY94" s="147">
        <f>Sheet4!$B$12*AY36</f>
        <v>342.21796923394589</v>
      </c>
      <c r="AZ94" s="147">
        <f>Sheet4!$B$12*AZ36</f>
        <v>345.11812151558951</v>
      </c>
      <c r="BA94" s="147">
        <f>Sheet4!$B$12*BA36</f>
        <v>348.01827379723312</v>
      </c>
      <c r="BB94" s="147">
        <f>Sheet4!$B$12*BB36</f>
        <v>350.91842607887673</v>
      </c>
      <c r="BC94" s="147">
        <f>Sheet4!$B$12*BC36</f>
        <v>353.81857836052035</v>
      </c>
      <c r="BD94" s="147">
        <f>Sheet4!$B$12*BD36</f>
        <v>356.71873064216396</v>
      </c>
      <c r="BE94" s="147">
        <f>Sheet4!$B$12*BE36</f>
        <v>359.61888292380758</v>
      </c>
      <c r="BF94" s="147">
        <f>Sheet4!$B$12*BF36</f>
        <v>362.51903520545119</v>
      </c>
      <c r="BG94" s="147">
        <f>Sheet4!$B$12*BG36</f>
        <v>365.4191874870948</v>
      </c>
      <c r="BH94" s="147">
        <f>Sheet4!$B$12*BH36</f>
        <v>368.31933976873842</v>
      </c>
      <c r="BI94" s="147">
        <f>Sheet4!$B$12*BI36</f>
        <v>371.21949205038197</v>
      </c>
      <c r="BJ94" s="147"/>
      <c r="BK94" s="282">
        <f t="shared" si="373"/>
        <v>1148.4603035308694</v>
      </c>
      <c r="BL94" s="147">
        <f t="shared" si="379"/>
        <v>1983.704160644229</v>
      </c>
      <c r="BM94" s="147">
        <f t="shared" si="380"/>
        <v>2818.9480177575879</v>
      </c>
      <c r="BN94" s="147">
        <f t="shared" si="381"/>
        <v>3654.1918748709477</v>
      </c>
      <c r="BO94" s="147">
        <f t="shared" si="382"/>
        <v>4263.2238540161052</v>
      </c>
      <c r="BP94" s="256"/>
      <c r="BQ94" s="397">
        <f t="shared" si="186"/>
        <v>2.976805010668319E-3</v>
      </c>
      <c r="BR94" s="393">
        <f t="shared" si="187"/>
        <v>2.976805010668319E-3</v>
      </c>
      <c r="BS94" s="393">
        <f t="shared" si="188"/>
        <v>2.9768050106683181E-3</v>
      </c>
      <c r="BT94" s="393">
        <f t="shared" si="189"/>
        <v>2.9768050106683186E-3</v>
      </c>
      <c r="BU94" s="393">
        <f t="shared" si="190"/>
        <v>2.9768050106683181E-3</v>
      </c>
    </row>
    <row r="95" spans="1:75">
      <c r="A95" s="262" t="s">
        <v>344</v>
      </c>
      <c r="B95" s="147">
        <f>Sheet4!$B$13*B36</f>
        <v>0</v>
      </c>
      <c r="C95" s="147">
        <f>Sheet4!$B$13*C36</f>
        <v>0</v>
      </c>
      <c r="D95" s="147">
        <f>Sheet4!$B$13*D36</f>
        <v>0</v>
      </c>
      <c r="E95" s="147">
        <f>Sheet4!$B$13*E36</f>
        <v>0</v>
      </c>
      <c r="F95" s="147">
        <f>Sheet4!$B$13*F36</f>
        <v>0</v>
      </c>
      <c r="G95" s="147">
        <f>Sheet4!$B$13*G36</f>
        <v>0</v>
      </c>
      <c r="H95" s="147">
        <f>Sheet4!$B$13*H36</f>
        <v>0</v>
      </c>
      <c r="I95" s="147">
        <f>Sheet4!$B$13*I36</f>
        <v>0</v>
      </c>
      <c r="J95" s="147">
        <f>Sheet4!$B$13*J36</f>
        <v>0</v>
      </c>
      <c r="K95" s="147">
        <f>Sheet4!$B$13*K36</f>
        <v>0</v>
      </c>
      <c r="L95" s="147">
        <f>Sheet4!$B$13*L36</f>
        <v>0</v>
      </c>
      <c r="M95" s="147">
        <f>Sheet4!$B$13*M36</f>
        <v>0</v>
      </c>
      <c r="N95" s="147">
        <f>Sheet4!$B$13*N36</f>
        <v>0</v>
      </c>
      <c r="O95" s="147">
        <f>Sheet4!$B$13*O36</f>
        <v>0</v>
      </c>
      <c r="P95" s="147">
        <f>Sheet4!$B$13*P36</f>
        <v>0</v>
      </c>
      <c r="Q95" s="147">
        <f>Sheet4!$B$13*Q36</f>
        <v>0</v>
      </c>
      <c r="R95" s="147">
        <f>Sheet4!$B$13*R36</f>
        <v>0</v>
      </c>
      <c r="S95" s="147">
        <f>Sheet4!$B$13*S36</f>
        <v>0</v>
      </c>
      <c r="T95" s="147">
        <f>Sheet4!$B$13*T36</f>
        <v>0</v>
      </c>
      <c r="U95" s="147">
        <f>Sheet4!$B$13*U36</f>
        <v>0</v>
      </c>
      <c r="V95" s="147">
        <f>Sheet4!$B$13*V36</f>
        <v>0</v>
      </c>
      <c r="W95" s="147">
        <f>Sheet4!$B$13*W36</f>
        <v>0</v>
      </c>
      <c r="X95" s="147">
        <f>Sheet4!$B$13*X36</f>
        <v>0</v>
      </c>
      <c r="Y95" s="147">
        <f>Sheet4!$B$13*Y36</f>
        <v>0</v>
      </c>
      <c r="Z95" s="147">
        <f>Sheet4!$B$13*Z36</f>
        <v>0</v>
      </c>
      <c r="AA95" s="147">
        <f>Sheet4!$B$13*AA36</f>
        <v>0</v>
      </c>
      <c r="AB95" s="147">
        <f>Sheet4!$B$13*AB36</f>
        <v>0</v>
      </c>
      <c r="AC95" s="147">
        <f>Sheet4!$B$13*AC36</f>
        <v>0</v>
      </c>
      <c r="AD95" s="147">
        <f>Sheet4!$B$13*AD36</f>
        <v>0</v>
      </c>
      <c r="AE95" s="147">
        <f>Sheet4!$B$13*AE36</f>
        <v>0</v>
      </c>
      <c r="AF95" s="147">
        <f>Sheet4!$B$13*AF36</f>
        <v>0</v>
      </c>
      <c r="AG95" s="147">
        <f>Sheet4!$B$13*AG36</f>
        <v>0</v>
      </c>
      <c r="AH95" s="147">
        <f>Sheet4!$B$13*AH36</f>
        <v>0</v>
      </c>
      <c r="AI95" s="147">
        <f>Sheet4!$B$13*AI36</f>
        <v>0</v>
      </c>
      <c r="AJ95" s="147">
        <f>Sheet4!$B$13*AJ36</f>
        <v>0</v>
      </c>
      <c r="AK95" s="147">
        <f>Sheet4!$B$13*AK36</f>
        <v>0</v>
      </c>
      <c r="AL95" s="147">
        <f>Sheet4!$B$13*AL36</f>
        <v>0</v>
      </c>
      <c r="AM95" s="147">
        <f>Sheet4!$B$13*AM36</f>
        <v>0</v>
      </c>
      <c r="AN95" s="147">
        <f>Sheet4!$B$13*AN36</f>
        <v>0</v>
      </c>
      <c r="AO95" s="147">
        <f>Sheet4!$B$13*AO36</f>
        <v>0</v>
      </c>
      <c r="AP95" s="147">
        <f>Sheet4!$B$13*AP36</f>
        <v>0</v>
      </c>
      <c r="AQ95" s="147">
        <f>Sheet4!$B$13*AQ36</f>
        <v>0</v>
      </c>
      <c r="AR95" s="147">
        <f>Sheet4!$B$13*AR36</f>
        <v>0</v>
      </c>
      <c r="AS95" s="147">
        <f>Sheet4!$B$13*AS36</f>
        <v>0</v>
      </c>
      <c r="AT95" s="147">
        <f>Sheet4!$B$13*AT36</f>
        <v>0</v>
      </c>
      <c r="AU95" s="147">
        <f>Sheet4!$B$13*AU36</f>
        <v>0</v>
      </c>
      <c r="AV95" s="147">
        <f>Sheet4!$B$13*AV36</f>
        <v>0</v>
      </c>
      <c r="AW95" s="147">
        <f>Sheet4!$B$13*AW36</f>
        <v>0</v>
      </c>
      <c r="AX95" s="147">
        <f>Sheet4!$B$13*AX36</f>
        <v>0</v>
      </c>
      <c r="AY95" s="147">
        <f>Sheet4!$B$13*AY36</f>
        <v>0</v>
      </c>
      <c r="AZ95" s="147">
        <f>Sheet4!$B$13*AZ36</f>
        <v>0</v>
      </c>
      <c r="BA95" s="147">
        <f>Sheet4!$B$13*BA36</f>
        <v>0</v>
      </c>
      <c r="BB95" s="147">
        <f>Sheet4!$B$13*BB36</f>
        <v>0</v>
      </c>
      <c r="BC95" s="147">
        <f>Sheet4!$B$13*BC36</f>
        <v>0</v>
      </c>
      <c r="BD95" s="147">
        <f>Sheet4!$B$13*BD36</f>
        <v>0</v>
      </c>
      <c r="BE95" s="147">
        <f>Sheet4!$B$13*BE36</f>
        <v>0</v>
      </c>
      <c r="BF95" s="147">
        <f>Sheet4!$B$13*BF36</f>
        <v>0</v>
      </c>
      <c r="BG95" s="147">
        <f>Sheet4!$B$13*BG36</f>
        <v>0</v>
      </c>
      <c r="BH95" s="147">
        <f>Sheet4!$B$13*BH36</f>
        <v>0</v>
      </c>
      <c r="BI95" s="147">
        <f>Sheet4!$B$13*BI36</f>
        <v>0</v>
      </c>
      <c r="BJ95" s="147"/>
      <c r="BK95" s="282">
        <f t="shared" si="373"/>
        <v>0</v>
      </c>
      <c r="BL95" s="147">
        <f t="shared" si="379"/>
        <v>0</v>
      </c>
      <c r="BM95" s="147">
        <f t="shared" si="380"/>
        <v>0</v>
      </c>
      <c r="BN95" s="147">
        <f t="shared" si="381"/>
        <v>0</v>
      </c>
      <c r="BO95" s="147">
        <f t="shared" si="382"/>
        <v>0</v>
      </c>
      <c r="BP95" s="256"/>
      <c r="BQ95" s="397">
        <f t="shared" si="186"/>
        <v>0</v>
      </c>
      <c r="BR95" s="393">
        <f t="shared" si="187"/>
        <v>0</v>
      </c>
      <c r="BS95" s="393">
        <f t="shared" si="188"/>
        <v>0</v>
      </c>
      <c r="BT95" s="393">
        <f t="shared" si="189"/>
        <v>0</v>
      </c>
      <c r="BU95" s="393">
        <f t="shared" si="190"/>
        <v>0</v>
      </c>
    </row>
    <row r="96" spans="1:75">
      <c r="A96" s="262" t="s">
        <v>345</v>
      </c>
      <c r="B96" s="147">
        <f>Sheet4!$B$14*B36</f>
        <v>364.36950000000002</v>
      </c>
      <c r="C96" s="147">
        <f>Sheet4!$B$14*C36</f>
        <v>397.49400000000003</v>
      </c>
      <c r="D96" s="147">
        <f>Sheet4!$B$14*D36</f>
        <v>430.61850000000004</v>
      </c>
      <c r="E96" s="147">
        <f>Sheet4!$B$14*E36</f>
        <v>463.74300000000005</v>
      </c>
      <c r="F96" s="147">
        <f>Sheet4!$B$14*F36</f>
        <v>496.86750000000006</v>
      </c>
      <c r="G96" s="147">
        <f>Sheet4!$B$14*G36</f>
        <v>529.99200000000008</v>
      </c>
      <c r="H96" s="147">
        <f>Sheet4!$B$14*H36</f>
        <v>563.11650000000009</v>
      </c>
      <c r="I96" s="147">
        <f>Sheet4!$B$14*I36</f>
        <v>596.2410000000001</v>
      </c>
      <c r="J96" s="147">
        <f>Sheet4!$B$14*J36</f>
        <v>629.3655</v>
      </c>
      <c r="K96" s="147">
        <f>Sheet4!$B$14*K36</f>
        <v>662.49</v>
      </c>
      <c r="L96" s="147">
        <f>Sheet4!$B$14*L36</f>
        <v>695.61450000000002</v>
      </c>
      <c r="M96" s="147">
        <f>Sheet4!$B$14*M36</f>
        <v>728.73900000000003</v>
      </c>
      <c r="N96" s="147">
        <f>Sheet4!$B$14*N36</f>
        <v>761.86350000000004</v>
      </c>
      <c r="O96" s="147">
        <f>Sheet4!$B$14*O36</f>
        <v>794.98800000000006</v>
      </c>
      <c r="P96" s="147">
        <f>Sheet4!$B$14*P36</f>
        <v>828.11250000000007</v>
      </c>
      <c r="Q96" s="147">
        <f>Sheet4!$B$14*Q36</f>
        <v>861.23700000000008</v>
      </c>
      <c r="R96" s="147">
        <f>Sheet4!$B$14*R36</f>
        <v>894.36150000000009</v>
      </c>
      <c r="S96" s="147">
        <f>Sheet4!$B$14*S36</f>
        <v>927.4860000000001</v>
      </c>
      <c r="T96" s="147">
        <f>Sheet4!$B$14*T36</f>
        <v>960.61050000000012</v>
      </c>
      <c r="U96" s="147">
        <f>Sheet4!$B$14*U36</f>
        <v>993.73500000000013</v>
      </c>
      <c r="V96" s="147">
        <f>Sheet4!$B$14*V36</f>
        <v>1026.8595</v>
      </c>
      <c r="W96" s="147">
        <f>Sheet4!$B$14*W36</f>
        <v>1059.9840000000002</v>
      </c>
      <c r="X96" s="147">
        <f>Sheet4!$B$14*X36</f>
        <v>1093.1085</v>
      </c>
      <c r="Y96" s="147">
        <f>Sheet4!$B$14*Y36</f>
        <v>1126.2330000000002</v>
      </c>
      <c r="Z96" s="147">
        <f>Sheet4!$B$14*Z36</f>
        <v>1159.3575000000001</v>
      </c>
      <c r="AA96" s="147">
        <f>Sheet4!$B$14*AA36</f>
        <v>1192.4820000000002</v>
      </c>
      <c r="AB96" s="147">
        <f>Sheet4!$B$14*AB36</f>
        <v>1225.6065000000001</v>
      </c>
      <c r="AC96" s="147">
        <f>Sheet4!$B$14*AC36</f>
        <v>1258.731</v>
      </c>
      <c r="AD96" s="147">
        <f>Sheet4!$B$14*AD36</f>
        <v>1291.8555000000001</v>
      </c>
      <c r="AE96" s="147">
        <f>Sheet4!$B$14*AE36</f>
        <v>1324.98</v>
      </c>
      <c r="AF96" s="147">
        <f>Sheet4!$B$14*AF36</f>
        <v>1358.1045000000001</v>
      </c>
      <c r="AG96" s="147">
        <f>Sheet4!$B$14*AG36</f>
        <v>1391.229</v>
      </c>
      <c r="AH96" s="147">
        <f>Sheet4!$B$14*AH36</f>
        <v>1424.3535000000002</v>
      </c>
      <c r="AI96" s="147">
        <f>Sheet4!$B$14*AI36</f>
        <v>1457.4780000000001</v>
      </c>
      <c r="AJ96" s="147">
        <f>Sheet4!$B$14*AJ36</f>
        <v>1490.6025000000002</v>
      </c>
      <c r="AK96" s="147">
        <f>Sheet4!$B$14*AK36</f>
        <v>1523.7270000000001</v>
      </c>
      <c r="AL96" s="147">
        <f>Sheet4!$B$14*AL36</f>
        <v>1556.8515000000002</v>
      </c>
      <c r="AM96" s="147">
        <f>Sheet4!$B$14*AM36</f>
        <v>1589.9760000000001</v>
      </c>
      <c r="AN96" s="147">
        <f>Sheet4!$B$14*AN36</f>
        <v>1623.1005</v>
      </c>
      <c r="AO96" s="147">
        <f>Sheet4!$B$14*AO36</f>
        <v>1656.2250000000001</v>
      </c>
      <c r="AP96" s="147">
        <f>Sheet4!$B$14*AP36</f>
        <v>1689.3495</v>
      </c>
      <c r="AQ96" s="147">
        <f>Sheet4!$B$14*AQ36</f>
        <v>1722.4740000000002</v>
      </c>
      <c r="AR96" s="147">
        <f>Sheet4!$B$14*AR36</f>
        <v>1755.5985000000001</v>
      </c>
      <c r="AS96" s="147">
        <f>Sheet4!$B$14*AS36</f>
        <v>1788.7230000000002</v>
      </c>
      <c r="AT96" s="147">
        <f>Sheet4!$B$14*AT36</f>
        <v>1821.8475000000001</v>
      </c>
      <c r="AU96" s="147">
        <f>Sheet4!$B$14*AU36</f>
        <v>1854.9720000000002</v>
      </c>
      <c r="AV96" s="147">
        <f>Sheet4!$B$14*AV36</f>
        <v>1888.0965000000001</v>
      </c>
      <c r="AW96" s="147">
        <f>Sheet4!$B$14*AW36</f>
        <v>1921.2210000000002</v>
      </c>
      <c r="AX96" s="147">
        <f>Sheet4!$B$14*AX36</f>
        <v>1937.7832500000002</v>
      </c>
      <c r="AY96" s="147">
        <f>Sheet4!$B$14*AY36</f>
        <v>1954.3455000000001</v>
      </c>
      <c r="AZ96" s="147">
        <f>Sheet4!$B$14*AZ36</f>
        <v>1970.9077500000001</v>
      </c>
      <c r="BA96" s="147">
        <f>Sheet4!$B$14*BA36</f>
        <v>1987.4700000000003</v>
      </c>
      <c r="BB96" s="147">
        <f>Sheet4!$B$14*BB36</f>
        <v>2004.0322500000002</v>
      </c>
      <c r="BC96" s="147">
        <f>Sheet4!$B$14*BC36</f>
        <v>2020.5945000000002</v>
      </c>
      <c r="BD96" s="147">
        <f>Sheet4!$B$14*BD36</f>
        <v>2037.1567500000001</v>
      </c>
      <c r="BE96" s="147">
        <f>Sheet4!$B$14*BE36</f>
        <v>2053.7190000000001</v>
      </c>
      <c r="BF96" s="147">
        <f>Sheet4!$B$14*BF36</f>
        <v>2070.28125</v>
      </c>
      <c r="BG96" s="147">
        <f>Sheet4!$B$14*BG36</f>
        <v>2086.8434999999999</v>
      </c>
      <c r="BH96" s="147">
        <f>Sheet4!$B$14*BH36</f>
        <v>2103.4057500000004</v>
      </c>
      <c r="BI96" s="147">
        <f>Sheet4!$B$14*BI36</f>
        <v>2119.9680000000003</v>
      </c>
      <c r="BJ96" s="147"/>
      <c r="BK96" s="282">
        <f t="shared" si="373"/>
        <v>6558.6509999999998</v>
      </c>
      <c r="BL96" s="147">
        <f t="shared" si="379"/>
        <v>11328.579000000002</v>
      </c>
      <c r="BM96" s="147">
        <f t="shared" si="380"/>
        <v>16098.507</v>
      </c>
      <c r="BN96" s="147">
        <f t="shared" si="381"/>
        <v>20868.435000000001</v>
      </c>
      <c r="BO96" s="147">
        <f t="shared" si="382"/>
        <v>24346.5075</v>
      </c>
      <c r="BP96" s="256"/>
      <c r="BQ96" s="397">
        <f t="shared" si="186"/>
        <v>1.7000000000000001E-2</v>
      </c>
      <c r="BR96" s="393">
        <f t="shared" si="187"/>
        <v>1.7000000000000001E-2</v>
      </c>
      <c r="BS96" s="393">
        <f t="shared" si="188"/>
        <v>1.7000000000000001E-2</v>
      </c>
      <c r="BT96" s="393">
        <f t="shared" si="189"/>
        <v>1.7000000000000001E-2</v>
      </c>
      <c r="BU96" s="393">
        <f t="shared" si="190"/>
        <v>1.7000000000000001E-2</v>
      </c>
    </row>
    <row r="97" spans="1:78">
      <c r="A97" s="262" t="s">
        <v>346</v>
      </c>
      <c r="B97" s="147">
        <f>Sheet4!$B$15*B36</f>
        <v>0</v>
      </c>
      <c r="C97" s="147">
        <f>Sheet4!$B$15*C36</f>
        <v>0</v>
      </c>
      <c r="D97" s="147">
        <f>Sheet4!$B$15*D36</f>
        <v>0</v>
      </c>
      <c r="E97" s="147">
        <f>Sheet4!$B$15*E36</f>
        <v>0</v>
      </c>
      <c r="F97" s="147">
        <f>Sheet4!$B$15*F36</f>
        <v>0</v>
      </c>
      <c r="G97" s="147">
        <f>Sheet4!$B$15*G36</f>
        <v>0</v>
      </c>
      <c r="H97" s="147">
        <f>Sheet4!$B$15*H36</f>
        <v>0</v>
      </c>
      <c r="I97" s="147">
        <f>Sheet4!$B$15*I36</f>
        <v>0</v>
      </c>
      <c r="J97" s="147">
        <f>Sheet4!$B$15*J36</f>
        <v>0</v>
      </c>
      <c r="K97" s="147">
        <f>Sheet4!$B$15*K36</f>
        <v>0</v>
      </c>
      <c r="L97" s="147">
        <f>Sheet4!$B$15*L36</f>
        <v>0</v>
      </c>
      <c r="M97" s="147">
        <f>Sheet4!$B$15*M36</f>
        <v>0</v>
      </c>
      <c r="N97" s="147">
        <f>Sheet4!$B$15*N36</f>
        <v>0</v>
      </c>
      <c r="O97" s="147">
        <f>Sheet4!$B$15*O36</f>
        <v>0</v>
      </c>
      <c r="P97" s="147">
        <f>Sheet4!$B$15*P36</f>
        <v>0</v>
      </c>
      <c r="Q97" s="147">
        <f>Sheet4!$B$15*Q36</f>
        <v>0</v>
      </c>
      <c r="R97" s="147">
        <f>Sheet4!$B$15*R36</f>
        <v>0</v>
      </c>
      <c r="S97" s="147">
        <f>Sheet4!$B$15*S36</f>
        <v>0</v>
      </c>
      <c r="T97" s="147">
        <f>Sheet4!$B$15*T36</f>
        <v>0</v>
      </c>
      <c r="U97" s="147">
        <f>Sheet4!$B$15*U36</f>
        <v>0</v>
      </c>
      <c r="V97" s="147">
        <f>Sheet4!$B$15*V36</f>
        <v>0</v>
      </c>
      <c r="W97" s="147">
        <f>Sheet4!$B$15*W36</f>
        <v>0</v>
      </c>
      <c r="X97" s="147">
        <f>Sheet4!$B$15*X36</f>
        <v>0</v>
      </c>
      <c r="Y97" s="147">
        <f>Sheet4!$B$15*Y36</f>
        <v>0</v>
      </c>
      <c r="Z97" s="147">
        <f>Sheet4!$B$15*Z36</f>
        <v>0</v>
      </c>
      <c r="AA97" s="147">
        <f>Sheet4!$B$15*AA36</f>
        <v>0</v>
      </c>
      <c r="AB97" s="147">
        <f>Sheet4!$B$15*AB36</f>
        <v>0</v>
      </c>
      <c r="AC97" s="147">
        <f>Sheet4!$B$15*AC36</f>
        <v>0</v>
      </c>
      <c r="AD97" s="147">
        <f>Sheet4!$B$15*AD36</f>
        <v>0</v>
      </c>
      <c r="AE97" s="147">
        <f>Sheet4!$B$15*AE36</f>
        <v>0</v>
      </c>
      <c r="AF97" s="147">
        <f>Sheet4!$B$15*AF36</f>
        <v>0</v>
      </c>
      <c r="AG97" s="147">
        <f>Sheet4!$B$15*AG36</f>
        <v>0</v>
      </c>
      <c r="AH97" s="147">
        <f>Sheet4!$B$15*AH36</f>
        <v>0</v>
      </c>
      <c r="AI97" s="147">
        <f>Sheet4!$B$15*AI36</f>
        <v>0</v>
      </c>
      <c r="AJ97" s="147">
        <f>Sheet4!$B$15*AJ36</f>
        <v>0</v>
      </c>
      <c r="AK97" s="147">
        <f>Sheet4!$B$15*AK36</f>
        <v>0</v>
      </c>
      <c r="AL97" s="147">
        <f>Sheet4!$B$15*AL36</f>
        <v>0</v>
      </c>
      <c r="AM97" s="147">
        <f>Sheet4!$B$15*AM36</f>
        <v>0</v>
      </c>
      <c r="AN97" s="147">
        <f>Sheet4!$B$15*AN36</f>
        <v>0</v>
      </c>
      <c r="AO97" s="147">
        <f>Sheet4!$B$15*AO36</f>
        <v>0</v>
      </c>
      <c r="AP97" s="147">
        <f>Sheet4!$B$15*AP36</f>
        <v>0</v>
      </c>
      <c r="AQ97" s="147">
        <f>Sheet4!$B$15*AQ36</f>
        <v>0</v>
      </c>
      <c r="AR97" s="147">
        <f>Sheet4!$B$15*AR36</f>
        <v>0</v>
      </c>
      <c r="AS97" s="147">
        <f>Sheet4!$B$15*AS36</f>
        <v>0</v>
      </c>
      <c r="AT97" s="147">
        <f>Sheet4!$B$15*AT36</f>
        <v>0</v>
      </c>
      <c r="AU97" s="147">
        <f>Sheet4!$B$15*AU36</f>
        <v>0</v>
      </c>
      <c r="AV97" s="147">
        <f>Sheet4!$B$15*AV36</f>
        <v>0</v>
      </c>
      <c r="AW97" s="147">
        <f>Sheet4!$B$15*AW36</f>
        <v>0</v>
      </c>
      <c r="AX97" s="147">
        <f>Sheet4!$B$15*AX36</f>
        <v>0</v>
      </c>
      <c r="AY97" s="147">
        <f>Sheet4!$B$15*AY36</f>
        <v>0</v>
      </c>
      <c r="AZ97" s="147">
        <f>Sheet4!$B$15*AZ36</f>
        <v>0</v>
      </c>
      <c r="BA97" s="147">
        <f>Sheet4!$B$15*BA36</f>
        <v>0</v>
      </c>
      <c r="BB97" s="147">
        <f>Sheet4!$B$15*BB36</f>
        <v>0</v>
      </c>
      <c r="BC97" s="147">
        <f>Sheet4!$B$15*BC36</f>
        <v>0</v>
      </c>
      <c r="BD97" s="147">
        <f>Sheet4!$B$15*BD36</f>
        <v>0</v>
      </c>
      <c r="BE97" s="147">
        <f>Sheet4!$B$15*BE36</f>
        <v>0</v>
      </c>
      <c r="BF97" s="147">
        <f>Sheet4!$B$15*BF36</f>
        <v>0</v>
      </c>
      <c r="BG97" s="147">
        <f>Sheet4!$B$15*BG36</f>
        <v>0</v>
      </c>
      <c r="BH97" s="147">
        <f>Sheet4!$B$15*BH36</f>
        <v>0</v>
      </c>
      <c r="BI97" s="147">
        <f>Sheet4!$B$15*BI36</f>
        <v>0</v>
      </c>
      <c r="BJ97" s="147"/>
      <c r="BK97" s="282">
        <f t="shared" si="373"/>
        <v>0</v>
      </c>
      <c r="BL97" s="147">
        <f t="shared" si="379"/>
        <v>0</v>
      </c>
      <c r="BM97" s="147">
        <f t="shared" si="380"/>
        <v>0</v>
      </c>
      <c r="BN97" s="147">
        <f t="shared" si="381"/>
        <v>0</v>
      </c>
      <c r="BO97" s="147">
        <f t="shared" si="382"/>
        <v>0</v>
      </c>
      <c r="BP97" s="256"/>
      <c r="BQ97" s="397">
        <f t="shared" si="186"/>
        <v>0</v>
      </c>
      <c r="BR97" s="393">
        <f t="shared" si="187"/>
        <v>0</v>
      </c>
      <c r="BS97" s="393">
        <f t="shared" si="188"/>
        <v>0</v>
      </c>
      <c r="BT97" s="393">
        <f t="shared" si="189"/>
        <v>0</v>
      </c>
      <c r="BU97" s="393">
        <f t="shared" si="190"/>
        <v>0</v>
      </c>
      <c r="BZ97" s="286" t="s">
        <v>330</v>
      </c>
    </row>
    <row r="98" spans="1:78">
      <c r="A98" s="262" t="s">
        <v>347</v>
      </c>
      <c r="B98" s="147">
        <f>Sheet4!$B$16*B36</f>
        <v>42.867000000000004</v>
      </c>
      <c r="C98" s="147">
        <f>Sheet4!$B$16*C36</f>
        <v>46.764000000000003</v>
      </c>
      <c r="D98" s="147">
        <f>Sheet4!$B$16*D36</f>
        <v>50.661000000000001</v>
      </c>
      <c r="E98" s="147">
        <f>Sheet4!$B$16*E36</f>
        <v>54.558</v>
      </c>
      <c r="F98" s="147">
        <f>Sheet4!$B$16*F36</f>
        <v>58.454999999999998</v>
      </c>
      <c r="G98" s="147">
        <f>Sheet4!$B$16*G36</f>
        <v>62.352000000000004</v>
      </c>
      <c r="H98" s="147">
        <f>Sheet4!$B$16*H36</f>
        <v>66.248999999999995</v>
      </c>
      <c r="I98" s="147">
        <f>Sheet4!$B$16*I36</f>
        <v>70.146000000000001</v>
      </c>
      <c r="J98" s="147">
        <f>Sheet4!$B$16*J36</f>
        <v>74.043000000000006</v>
      </c>
      <c r="K98" s="147">
        <f>Sheet4!$B$16*K36</f>
        <v>77.94</v>
      </c>
      <c r="L98" s="147">
        <f>Sheet4!$B$16*L36</f>
        <v>81.837000000000003</v>
      </c>
      <c r="M98" s="147">
        <f>Sheet4!$B$16*M36</f>
        <v>85.734000000000009</v>
      </c>
      <c r="N98" s="147">
        <f>Sheet4!$B$16*N36</f>
        <v>89.631</v>
      </c>
      <c r="O98" s="147">
        <f>Sheet4!$B$16*O36</f>
        <v>93.528000000000006</v>
      </c>
      <c r="P98" s="147">
        <f>Sheet4!$B$16*P36</f>
        <v>97.424999999999997</v>
      </c>
      <c r="Q98" s="147">
        <f>Sheet4!$B$16*Q36</f>
        <v>101.322</v>
      </c>
      <c r="R98" s="147">
        <f>Sheet4!$B$16*R36</f>
        <v>105.21900000000001</v>
      </c>
      <c r="S98" s="147">
        <f>Sheet4!$B$16*S36</f>
        <v>109.116</v>
      </c>
      <c r="T98" s="147">
        <f>Sheet4!$B$16*T36</f>
        <v>113.01300000000001</v>
      </c>
      <c r="U98" s="147">
        <f>Sheet4!$B$16*U36</f>
        <v>116.91</v>
      </c>
      <c r="V98" s="147">
        <f>Sheet4!$B$16*V36</f>
        <v>120.807</v>
      </c>
      <c r="W98" s="147">
        <f>Sheet4!$B$16*W36</f>
        <v>124.70400000000001</v>
      </c>
      <c r="X98" s="147">
        <f>Sheet4!$B$16*X36</f>
        <v>128.601</v>
      </c>
      <c r="Y98" s="147">
        <f>Sheet4!$B$16*Y36</f>
        <v>132.49799999999999</v>
      </c>
      <c r="Z98" s="147">
        <f>Sheet4!$B$16*Z36</f>
        <v>136.39500000000001</v>
      </c>
      <c r="AA98" s="147">
        <f>Sheet4!$B$16*AA36</f>
        <v>140.292</v>
      </c>
      <c r="AB98" s="147">
        <f>Sheet4!$B$16*AB36</f>
        <v>144.18899999999999</v>
      </c>
      <c r="AC98" s="147">
        <f>Sheet4!$B$16*AC36</f>
        <v>148.08600000000001</v>
      </c>
      <c r="AD98" s="147">
        <f>Sheet4!$B$16*AD36</f>
        <v>151.983</v>
      </c>
      <c r="AE98" s="147">
        <f>Sheet4!$B$16*AE36</f>
        <v>155.88</v>
      </c>
      <c r="AF98" s="147">
        <f>Sheet4!$B$16*AF36</f>
        <v>159.77700000000002</v>
      </c>
      <c r="AG98" s="147">
        <f>Sheet4!$B$16*AG36</f>
        <v>163.67400000000001</v>
      </c>
      <c r="AH98" s="147">
        <f>Sheet4!$B$16*AH36</f>
        <v>167.571</v>
      </c>
      <c r="AI98" s="147">
        <f>Sheet4!$B$16*AI36</f>
        <v>171.46800000000002</v>
      </c>
      <c r="AJ98" s="147">
        <f>Sheet4!$B$16*AJ36</f>
        <v>175.36500000000001</v>
      </c>
      <c r="AK98" s="147">
        <f>Sheet4!$B$16*AK36</f>
        <v>179.262</v>
      </c>
      <c r="AL98" s="147">
        <f>Sheet4!$B$16*AL36</f>
        <v>183.15899999999999</v>
      </c>
      <c r="AM98" s="147">
        <f>Sheet4!$B$16*AM36</f>
        <v>187.05600000000001</v>
      </c>
      <c r="AN98" s="147">
        <f>Sheet4!$B$16*AN36</f>
        <v>190.953</v>
      </c>
      <c r="AO98" s="147">
        <f>Sheet4!$B$16*AO36</f>
        <v>194.85</v>
      </c>
      <c r="AP98" s="147">
        <f>Sheet4!$B$16*AP36</f>
        <v>198.74700000000001</v>
      </c>
      <c r="AQ98" s="147">
        <f>Sheet4!$B$16*AQ36</f>
        <v>202.64400000000001</v>
      </c>
      <c r="AR98" s="147">
        <f>Sheet4!$B$16*AR36</f>
        <v>206.541</v>
      </c>
      <c r="AS98" s="147">
        <f>Sheet4!$B$16*AS36</f>
        <v>210.43800000000002</v>
      </c>
      <c r="AT98" s="147">
        <f>Sheet4!$B$16*AT36</f>
        <v>214.33500000000001</v>
      </c>
      <c r="AU98" s="147">
        <f>Sheet4!$B$16*AU36</f>
        <v>218.232</v>
      </c>
      <c r="AV98" s="147">
        <f>Sheet4!$B$16*AV36</f>
        <v>222.12899999999999</v>
      </c>
      <c r="AW98" s="147">
        <f>Sheet4!$B$16*AW36</f>
        <v>226.02600000000001</v>
      </c>
      <c r="AX98" s="147">
        <f>Sheet4!$B$16*AX36</f>
        <v>227.97450000000001</v>
      </c>
      <c r="AY98" s="147">
        <f>Sheet4!$B$16*AY36</f>
        <v>229.923</v>
      </c>
      <c r="AZ98" s="147">
        <f>Sheet4!$B$16*AZ36</f>
        <v>231.8715</v>
      </c>
      <c r="BA98" s="147">
        <f>Sheet4!$B$16*BA36</f>
        <v>233.82</v>
      </c>
      <c r="BB98" s="147">
        <f>Sheet4!$B$16*BB36</f>
        <v>235.76850000000002</v>
      </c>
      <c r="BC98" s="147">
        <f>Sheet4!$B$16*BC36</f>
        <v>237.71700000000001</v>
      </c>
      <c r="BD98" s="147">
        <f>Sheet4!$B$16*BD36</f>
        <v>239.66550000000001</v>
      </c>
      <c r="BE98" s="147">
        <f>Sheet4!$B$16*BE36</f>
        <v>241.614</v>
      </c>
      <c r="BF98" s="147">
        <f>Sheet4!$B$16*BF36</f>
        <v>243.5625</v>
      </c>
      <c r="BG98" s="147">
        <f>Sheet4!$B$16*BG36</f>
        <v>245.511</v>
      </c>
      <c r="BH98" s="147">
        <f>Sheet4!$B$16*BH36</f>
        <v>247.45949999999999</v>
      </c>
      <c r="BI98" s="147">
        <f>Sheet4!$B$16*BI36</f>
        <v>249.40800000000002</v>
      </c>
      <c r="BJ98" s="147"/>
      <c r="BK98" s="282">
        <f t="shared" si="373"/>
        <v>771.60600000000011</v>
      </c>
      <c r="BL98" s="147">
        <f t="shared" si="379"/>
        <v>1332.7739999999999</v>
      </c>
      <c r="BM98" s="147">
        <f t="shared" si="380"/>
        <v>1893.9419999999998</v>
      </c>
      <c r="BN98" s="147">
        <f t="shared" si="381"/>
        <v>2455.11</v>
      </c>
      <c r="BO98" s="147">
        <f t="shared" si="382"/>
        <v>2864.2950000000001</v>
      </c>
      <c r="BP98" s="256"/>
      <c r="BQ98" s="397">
        <f t="shared" si="186"/>
        <v>2.0000000000000005E-3</v>
      </c>
      <c r="BR98" s="393">
        <f t="shared" si="187"/>
        <v>2E-3</v>
      </c>
      <c r="BS98" s="393">
        <f t="shared" si="188"/>
        <v>1.9999999999999996E-3</v>
      </c>
      <c r="BT98" s="393">
        <f t="shared" si="189"/>
        <v>2E-3</v>
      </c>
      <c r="BU98" s="393">
        <f t="shared" si="190"/>
        <v>2E-3</v>
      </c>
      <c r="BZ98" s="286" t="s">
        <v>331</v>
      </c>
    </row>
    <row r="99" spans="1:78">
      <c r="A99" s="262" t="s">
        <v>348</v>
      </c>
      <c r="B99" s="147">
        <f>Sheet4!$B$17*B36</f>
        <v>124.65625645261201</v>
      </c>
      <c r="C99" s="147">
        <f>Sheet4!$B$17*C36</f>
        <v>135.98864340284948</v>
      </c>
      <c r="D99" s="147">
        <f>Sheet4!$B$17*D36</f>
        <v>147.32103035308691</v>
      </c>
      <c r="E99" s="147">
        <f>Sheet4!$B$17*E36</f>
        <v>158.65341730332437</v>
      </c>
      <c r="F99" s="147">
        <f>Sheet4!$B$17*F36</f>
        <v>169.98580425356184</v>
      </c>
      <c r="G99" s="147">
        <f>Sheet4!$B$17*G36</f>
        <v>181.3181912037993</v>
      </c>
      <c r="H99" s="147">
        <f>Sheet4!$B$17*H36</f>
        <v>192.65057815403674</v>
      </c>
      <c r="I99" s="147">
        <f>Sheet4!$B$17*I36</f>
        <v>203.9829651042742</v>
      </c>
      <c r="J99" s="147">
        <f>Sheet4!$B$17*J36</f>
        <v>215.31535205451166</v>
      </c>
      <c r="K99" s="147">
        <f>Sheet4!$B$17*K36</f>
        <v>226.6477390047491</v>
      </c>
      <c r="L99" s="147">
        <f>Sheet4!$B$17*L36</f>
        <v>237.98012595498656</v>
      </c>
      <c r="M99" s="147">
        <f>Sheet4!$B$17*M36</f>
        <v>249.31251290522403</v>
      </c>
      <c r="N99" s="147">
        <f>Sheet4!$B$17*N36</f>
        <v>260.64489985546146</v>
      </c>
      <c r="O99" s="147">
        <f>Sheet4!$B$17*O36</f>
        <v>271.97728680569895</v>
      </c>
      <c r="P99" s="147">
        <f>Sheet4!$B$17*P36</f>
        <v>283.30967375593639</v>
      </c>
      <c r="Q99" s="147">
        <f>Sheet4!$B$17*Q36</f>
        <v>294.64206070617382</v>
      </c>
      <c r="R99" s="147">
        <f>Sheet4!$B$17*R36</f>
        <v>305.97444765641131</v>
      </c>
      <c r="S99" s="147">
        <f>Sheet4!$B$17*S36</f>
        <v>317.30683460664875</v>
      </c>
      <c r="T99" s="147">
        <f>Sheet4!$B$17*T36</f>
        <v>328.63922155688618</v>
      </c>
      <c r="U99" s="147">
        <f>Sheet4!$B$17*U36</f>
        <v>339.97160850712368</v>
      </c>
      <c r="V99" s="147">
        <f>Sheet4!$B$17*V36</f>
        <v>351.30399545736111</v>
      </c>
      <c r="W99" s="147">
        <f>Sheet4!$B$17*W36</f>
        <v>362.6363824075986</v>
      </c>
      <c r="X99" s="147">
        <f>Sheet4!$B$17*X36</f>
        <v>373.96876935783604</v>
      </c>
      <c r="Y99" s="147">
        <f>Sheet4!$B$17*Y36</f>
        <v>385.30115630807347</v>
      </c>
      <c r="Z99" s="147">
        <f>Sheet4!$B$17*Z36</f>
        <v>396.63354325831097</v>
      </c>
      <c r="AA99" s="147">
        <f>Sheet4!$B$17*AA36</f>
        <v>407.9659302085484</v>
      </c>
      <c r="AB99" s="147">
        <f>Sheet4!$B$17*AB36</f>
        <v>419.29831715878584</v>
      </c>
      <c r="AC99" s="147">
        <f>Sheet4!$B$17*AC36</f>
        <v>430.63070410902333</v>
      </c>
      <c r="AD99" s="147">
        <f>Sheet4!$B$17*AD36</f>
        <v>441.96309105926076</v>
      </c>
      <c r="AE99" s="147">
        <f>Sheet4!$B$17*AE36</f>
        <v>453.2954780094982</v>
      </c>
      <c r="AF99" s="147">
        <f>Sheet4!$B$17*AF36</f>
        <v>464.62786495973569</v>
      </c>
      <c r="AG99" s="147">
        <f>Sheet4!$B$17*AG36</f>
        <v>475.96025190997312</v>
      </c>
      <c r="AH99" s="147">
        <f>Sheet4!$B$17*AH36</f>
        <v>487.29263886021056</v>
      </c>
      <c r="AI99" s="147">
        <f>Sheet4!$B$17*AI36</f>
        <v>498.62502581044805</v>
      </c>
      <c r="AJ99" s="147">
        <f>Sheet4!$B$17*AJ36</f>
        <v>509.95741276068549</v>
      </c>
      <c r="AK99" s="147">
        <f>Sheet4!$B$17*AK36</f>
        <v>521.28979971092292</v>
      </c>
      <c r="AL99" s="147">
        <f>Sheet4!$B$17*AL36</f>
        <v>532.62218666116041</v>
      </c>
      <c r="AM99" s="147">
        <f>Sheet4!$B$17*AM36</f>
        <v>543.9545736113979</v>
      </c>
      <c r="AN99" s="147">
        <f>Sheet4!$B$17*AN36</f>
        <v>555.28696056163528</v>
      </c>
      <c r="AO99" s="147">
        <f>Sheet4!$B$17*AO36</f>
        <v>566.61934751187277</v>
      </c>
      <c r="AP99" s="147">
        <f>Sheet4!$B$17*AP36</f>
        <v>577.95173446211027</v>
      </c>
      <c r="AQ99" s="147">
        <f>Sheet4!$B$17*AQ36</f>
        <v>589.28412141234764</v>
      </c>
      <c r="AR99" s="147">
        <f>Sheet4!$B$17*AR36</f>
        <v>600.61650836258514</v>
      </c>
      <c r="AS99" s="147">
        <f>Sheet4!$B$17*AS36</f>
        <v>611.94889531282263</v>
      </c>
      <c r="AT99" s="147">
        <f>Sheet4!$B$17*AT36</f>
        <v>623.28128226306001</v>
      </c>
      <c r="AU99" s="147">
        <f>Sheet4!$B$17*AU36</f>
        <v>634.6136692132975</v>
      </c>
      <c r="AV99" s="147">
        <f>Sheet4!$B$17*AV36</f>
        <v>645.94605616353499</v>
      </c>
      <c r="AW99" s="147">
        <f>Sheet4!$B$17*AW36</f>
        <v>657.27844311377237</v>
      </c>
      <c r="AX99" s="147">
        <f>Sheet4!$B$17*AX36</f>
        <v>662.94463658889117</v>
      </c>
      <c r="AY99" s="147">
        <f>Sheet4!$B$17*AY36</f>
        <v>668.61083006400986</v>
      </c>
      <c r="AZ99" s="147">
        <f>Sheet4!$B$17*AZ36</f>
        <v>674.27702353912855</v>
      </c>
      <c r="BA99" s="147">
        <f>Sheet4!$B$17*BA36</f>
        <v>679.94321701424735</v>
      </c>
      <c r="BB99" s="147">
        <f>Sheet4!$B$17*BB36</f>
        <v>685.60941048936604</v>
      </c>
      <c r="BC99" s="147">
        <f>Sheet4!$B$17*BC36</f>
        <v>691.27560396448473</v>
      </c>
      <c r="BD99" s="147">
        <f>Sheet4!$B$17*BD36</f>
        <v>696.94179743960353</v>
      </c>
      <c r="BE99" s="147">
        <f>Sheet4!$B$17*BE36</f>
        <v>702.60799091472222</v>
      </c>
      <c r="BF99" s="147">
        <f>Sheet4!$B$17*BF36</f>
        <v>708.27418438984091</v>
      </c>
      <c r="BG99" s="147">
        <f>Sheet4!$B$17*BG36</f>
        <v>713.94037786495971</v>
      </c>
      <c r="BH99" s="147">
        <f>Sheet4!$B$17*BH36</f>
        <v>719.6065713400784</v>
      </c>
      <c r="BI99" s="147">
        <f>Sheet4!$B$17*BI36</f>
        <v>725.27276481519721</v>
      </c>
      <c r="BJ99" s="147"/>
      <c r="BK99" s="282">
        <f t="shared" si="373"/>
        <v>2243.8126161470163</v>
      </c>
      <c r="BL99" s="147">
        <f t="shared" si="379"/>
        <v>3875.6763369812097</v>
      </c>
      <c r="BM99" s="147">
        <f t="shared" si="380"/>
        <v>5507.5400578154031</v>
      </c>
      <c r="BN99" s="147">
        <f t="shared" si="381"/>
        <v>7139.4037786495974</v>
      </c>
      <c r="BO99" s="147">
        <f t="shared" si="382"/>
        <v>8329.3044084245284</v>
      </c>
      <c r="BP99" s="256"/>
      <c r="BQ99" s="397">
        <f t="shared" si="186"/>
        <v>5.8159542982999515E-3</v>
      </c>
      <c r="BR99" s="393">
        <f t="shared" si="187"/>
        <v>5.8159542982999515E-3</v>
      </c>
      <c r="BS99" s="393">
        <f t="shared" si="188"/>
        <v>5.8159542982999515E-3</v>
      </c>
      <c r="BT99" s="393">
        <f t="shared" si="189"/>
        <v>5.8159542982999515E-3</v>
      </c>
      <c r="BU99" s="393">
        <f t="shared" si="190"/>
        <v>5.8159542982999506E-3</v>
      </c>
      <c r="BZ99" s="286" t="s">
        <v>332</v>
      </c>
    </row>
    <row r="100" spans="1:78">
      <c r="A100" s="262" t="s">
        <v>349</v>
      </c>
      <c r="B100" s="147">
        <f>Sheet4!$B$19*B36</f>
        <v>0</v>
      </c>
      <c r="C100" s="147">
        <f>Sheet4!$B$19*C36</f>
        <v>0</v>
      </c>
      <c r="D100" s="147">
        <f>Sheet4!$B$19*D36</f>
        <v>0</v>
      </c>
      <c r="E100" s="147">
        <f>Sheet4!$B$19*E36</f>
        <v>0</v>
      </c>
      <c r="F100" s="147">
        <f>Sheet4!$B$19*F36</f>
        <v>0</v>
      </c>
      <c r="G100" s="147">
        <f>Sheet4!$B$19*G36</f>
        <v>0</v>
      </c>
      <c r="H100" s="147">
        <f>Sheet4!$B$19*H36</f>
        <v>0</v>
      </c>
      <c r="I100" s="147">
        <f>Sheet4!$B$19*I36</f>
        <v>0</v>
      </c>
      <c r="J100" s="147">
        <f>Sheet4!$B$19*J36</f>
        <v>0</v>
      </c>
      <c r="K100" s="147">
        <f>Sheet4!$B$19*K36</f>
        <v>0</v>
      </c>
      <c r="L100" s="147">
        <f>Sheet4!$B$19*L36</f>
        <v>0</v>
      </c>
      <c r="M100" s="147">
        <f>Sheet4!$B$19*M36</f>
        <v>0</v>
      </c>
      <c r="N100" s="147">
        <f>Sheet4!$B$19*N36</f>
        <v>0</v>
      </c>
      <c r="O100" s="147">
        <f>Sheet4!$B$19*O36</f>
        <v>0</v>
      </c>
      <c r="P100" s="147">
        <f>Sheet4!$B$19*P36</f>
        <v>0</v>
      </c>
      <c r="Q100" s="147">
        <f>Sheet4!$B$19*Q36</f>
        <v>0</v>
      </c>
      <c r="R100" s="147">
        <f>Sheet4!$B$19*R36</f>
        <v>0</v>
      </c>
      <c r="S100" s="147">
        <f>Sheet4!$B$19*S36</f>
        <v>0</v>
      </c>
      <c r="T100" s="147">
        <f>Sheet4!$B$19*T36</f>
        <v>0</v>
      </c>
      <c r="U100" s="147">
        <f>Sheet4!$B$19*U36</f>
        <v>0</v>
      </c>
      <c r="V100" s="147">
        <f>Sheet4!$B$19*V36</f>
        <v>0</v>
      </c>
      <c r="W100" s="147">
        <f>Sheet4!$B$19*W36</f>
        <v>0</v>
      </c>
      <c r="X100" s="147">
        <f>Sheet4!$B$19*X36</f>
        <v>0</v>
      </c>
      <c r="Y100" s="147">
        <f>Sheet4!$B$19*Y36</f>
        <v>0</v>
      </c>
      <c r="Z100" s="147">
        <f>Sheet4!$B$19*Z36</f>
        <v>0</v>
      </c>
      <c r="AA100" s="147">
        <f>Sheet4!$B$19*AA36</f>
        <v>0</v>
      </c>
      <c r="AB100" s="147">
        <f>Sheet4!$B$19*AB36</f>
        <v>0</v>
      </c>
      <c r="AC100" s="147">
        <f>Sheet4!$B$19*AC36</f>
        <v>0</v>
      </c>
      <c r="AD100" s="147">
        <f>Sheet4!$B$19*AD36</f>
        <v>0</v>
      </c>
      <c r="AE100" s="147">
        <f>Sheet4!$B$19*AE36</f>
        <v>0</v>
      </c>
      <c r="AF100" s="147">
        <f>Sheet4!$B$19*AF36</f>
        <v>0</v>
      </c>
      <c r="AG100" s="147">
        <f>Sheet4!$B$19*AG36</f>
        <v>0</v>
      </c>
      <c r="AH100" s="147">
        <f>Sheet4!$B$19*AH36</f>
        <v>0</v>
      </c>
      <c r="AI100" s="147">
        <f>Sheet4!$B$19*AI36</f>
        <v>0</v>
      </c>
      <c r="AJ100" s="147">
        <f>Sheet4!$B$19*AJ36</f>
        <v>0</v>
      </c>
      <c r="AK100" s="147">
        <f>Sheet4!$B$19*AK36</f>
        <v>0</v>
      </c>
      <c r="AL100" s="147">
        <f>Sheet4!$B$19*AL36</f>
        <v>0</v>
      </c>
      <c r="AM100" s="147">
        <f>Sheet4!$B$19*AM36</f>
        <v>0</v>
      </c>
      <c r="AN100" s="147">
        <f>Sheet4!$B$19*AN36</f>
        <v>0</v>
      </c>
      <c r="AO100" s="147">
        <f>Sheet4!$B$19*AO36</f>
        <v>0</v>
      </c>
      <c r="AP100" s="147">
        <f>Sheet4!$B$19*AP36</f>
        <v>0</v>
      </c>
      <c r="AQ100" s="147">
        <f>Sheet4!$B$19*AQ36</f>
        <v>0</v>
      </c>
      <c r="AR100" s="147">
        <f>Sheet4!$B$19*AR36</f>
        <v>0</v>
      </c>
      <c r="AS100" s="147">
        <f>Sheet4!$B$19*AS36</f>
        <v>0</v>
      </c>
      <c r="AT100" s="147">
        <f>Sheet4!$B$19*AT36</f>
        <v>0</v>
      </c>
      <c r="AU100" s="147">
        <f>Sheet4!$B$19*AU36</f>
        <v>0</v>
      </c>
      <c r="AV100" s="147">
        <f>Sheet4!$B$19*AV36</f>
        <v>0</v>
      </c>
      <c r="AW100" s="147">
        <f>Sheet4!$B$19*AW36</f>
        <v>0</v>
      </c>
      <c r="AX100" s="147">
        <f>Sheet4!$B$19*AX36</f>
        <v>0</v>
      </c>
      <c r="AY100" s="147">
        <f>Sheet4!$B$19*AY36</f>
        <v>0</v>
      </c>
      <c r="AZ100" s="147">
        <f>Sheet4!$B$19*AZ36</f>
        <v>0</v>
      </c>
      <c r="BA100" s="147">
        <f>Sheet4!$B$19*BA36</f>
        <v>0</v>
      </c>
      <c r="BB100" s="147">
        <f>Sheet4!$B$19*BB36</f>
        <v>0</v>
      </c>
      <c r="BC100" s="147">
        <f>Sheet4!$B$19*BC36</f>
        <v>0</v>
      </c>
      <c r="BD100" s="147">
        <f>Sheet4!$B$19*BD36</f>
        <v>0</v>
      </c>
      <c r="BE100" s="147">
        <f>Sheet4!$B$19*BE36</f>
        <v>0</v>
      </c>
      <c r="BF100" s="147">
        <f>Sheet4!$B$19*BF36</f>
        <v>0</v>
      </c>
      <c r="BG100" s="147">
        <f>Sheet4!$B$19*BG36</f>
        <v>0</v>
      </c>
      <c r="BH100" s="147">
        <f>Sheet4!$B$19*BH36</f>
        <v>0</v>
      </c>
      <c r="BI100" s="147">
        <f>Sheet4!$B$19*BI36</f>
        <v>0</v>
      </c>
      <c r="BJ100" s="147"/>
      <c r="BK100" s="282">
        <f t="shared" si="373"/>
        <v>0</v>
      </c>
      <c r="BL100" s="147">
        <f t="shared" si="379"/>
        <v>0</v>
      </c>
      <c r="BM100" s="147">
        <f t="shared" si="380"/>
        <v>0</v>
      </c>
      <c r="BN100" s="147">
        <f t="shared" si="381"/>
        <v>0</v>
      </c>
      <c r="BO100" s="147">
        <f t="shared" si="382"/>
        <v>0</v>
      </c>
      <c r="BP100" s="256"/>
      <c r="BQ100" s="397">
        <f t="shared" ref="BQ100:BQ114" si="383">BK100/BK$36</f>
        <v>0</v>
      </c>
      <c r="BR100" s="393">
        <f t="shared" ref="BR100:BR114" si="384">BL100/BL$36</f>
        <v>0</v>
      </c>
      <c r="BS100" s="393">
        <f t="shared" ref="BS100:BS114" si="385">BM100/BM$36</f>
        <v>0</v>
      </c>
      <c r="BT100" s="393">
        <f t="shared" ref="BT100:BT114" si="386">BN100/BN$36</f>
        <v>0</v>
      </c>
      <c r="BU100" s="393">
        <f t="shared" ref="BU100:BU114" si="387">BO100/BO$36</f>
        <v>0</v>
      </c>
      <c r="BV100" s="139">
        <v>10</v>
      </c>
      <c r="BZ100" s="286" t="s">
        <v>334</v>
      </c>
    </row>
    <row r="101" spans="1:78">
      <c r="A101" s="262" t="s">
        <v>350</v>
      </c>
      <c r="B101" s="147">
        <f>Sheet4!$B$20*B36</f>
        <v>137.56444868882923</v>
      </c>
      <c r="C101" s="147">
        <f>Sheet4!$B$20*C36</f>
        <v>150.07030766054098</v>
      </c>
      <c r="D101" s="147">
        <f>Sheet4!$B$20*D36</f>
        <v>162.57616663225272</v>
      </c>
      <c r="E101" s="147">
        <f>Sheet4!$B$20*E36</f>
        <v>175.0820256039645</v>
      </c>
      <c r="F101" s="147">
        <f>Sheet4!$B$20*F36</f>
        <v>187.58788457567624</v>
      </c>
      <c r="G101" s="147">
        <f>Sheet4!$B$20*G36</f>
        <v>200.09374354738799</v>
      </c>
      <c r="H101" s="147">
        <f>Sheet4!$B$20*H36</f>
        <v>212.59960251909973</v>
      </c>
      <c r="I101" s="147">
        <f>Sheet4!$B$20*I36</f>
        <v>225.10546149081148</v>
      </c>
      <c r="J101" s="147">
        <f>Sheet4!$B$20*J36</f>
        <v>237.61132046252322</v>
      </c>
      <c r="K101" s="147">
        <f>Sheet4!$B$20*K36</f>
        <v>250.11717943423497</v>
      </c>
      <c r="L101" s="147">
        <f>Sheet4!$B$20*L36</f>
        <v>262.62303840594672</v>
      </c>
      <c r="M101" s="147">
        <f>Sheet4!$B$20*M36</f>
        <v>275.12889737765846</v>
      </c>
      <c r="N101" s="147">
        <f>Sheet4!$B$20*N36</f>
        <v>287.63475634937021</v>
      </c>
      <c r="O101" s="147">
        <f>Sheet4!$B$20*O36</f>
        <v>300.14061532108195</v>
      </c>
      <c r="P101" s="147">
        <f>Sheet4!$B$20*P36</f>
        <v>312.6464742927937</v>
      </c>
      <c r="Q101" s="147">
        <f>Sheet4!$B$20*Q36</f>
        <v>325.15233326450544</v>
      </c>
      <c r="R101" s="147">
        <f>Sheet4!$B$20*R36</f>
        <v>337.65819223621719</v>
      </c>
      <c r="S101" s="147">
        <f>Sheet4!$B$20*S36</f>
        <v>350.16405120792899</v>
      </c>
      <c r="T101" s="147">
        <f>Sheet4!$B$20*T36</f>
        <v>362.66991017964074</v>
      </c>
      <c r="U101" s="147">
        <f>Sheet4!$B$20*U36</f>
        <v>375.17576915135248</v>
      </c>
      <c r="V101" s="147">
        <f>Sheet4!$B$20*V36</f>
        <v>387.68162812306423</v>
      </c>
      <c r="W101" s="147">
        <f>Sheet4!$B$20*W36</f>
        <v>400.18748709477597</v>
      </c>
      <c r="X101" s="147">
        <f>Sheet4!$B$20*X36</f>
        <v>412.69334606648772</v>
      </c>
      <c r="Y101" s="147">
        <f>Sheet4!$B$20*Y36</f>
        <v>425.19920503819947</v>
      </c>
      <c r="Z101" s="147">
        <f>Sheet4!$B$20*Z36</f>
        <v>437.70506400991121</v>
      </c>
      <c r="AA101" s="147">
        <f>Sheet4!$B$20*AA36</f>
        <v>450.21092298162296</v>
      </c>
      <c r="AB101" s="147">
        <f>Sheet4!$B$20*AB36</f>
        <v>462.7167819533347</v>
      </c>
      <c r="AC101" s="147">
        <f>Sheet4!$B$20*AC36</f>
        <v>475.22264092504645</v>
      </c>
      <c r="AD101" s="147">
        <f>Sheet4!$B$20*AD36</f>
        <v>487.72849989675819</v>
      </c>
      <c r="AE101" s="147">
        <f>Sheet4!$B$20*AE36</f>
        <v>500.23435886846994</v>
      </c>
      <c r="AF101" s="147">
        <f>Sheet4!$B$20*AF36</f>
        <v>512.74021784018169</v>
      </c>
      <c r="AG101" s="147">
        <f>Sheet4!$B$20*AG36</f>
        <v>525.24607681189343</v>
      </c>
      <c r="AH101" s="147">
        <f>Sheet4!$B$20*AH36</f>
        <v>537.75193578360518</v>
      </c>
      <c r="AI101" s="147">
        <f>Sheet4!$B$20*AI36</f>
        <v>550.25779475531692</v>
      </c>
      <c r="AJ101" s="147">
        <f>Sheet4!$B$20*AJ36</f>
        <v>562.76365372702867</v>
      </c>
      <c r="AK101" s="147">
        <f>Sheet4!$B$20*AK36</f>
        <v>575.26951269874041</v>
      </c>
      <c r="AL101" s="147">
        <f>Sheet4!$B$20*AL36</f>
        <v>587.77537167045216</v>
      </c>
      <c r="AM101" s="147">
        <f>Sheet4!$B$20*AM36</f>
        <v>600.28123064216391</v>
      </c>
      <c r="AN101" s="147">
        <f>Sheet4!$B$20*AN36</f>
        <v>612.78708961387565</v>
      </c>
      <c r="AO101" s="147">
        <f>Sheet4!$B$20*AO36</f>
        <v>625.2929485855874</v>
      </c>
      <c r="AP101" s="147">
        <f>Sheet4!$B$20*AP36</f>
        <v>637.79880755729914</v>
      </c>
      <c r="AQ101" s="147">
        <f>Sheet4!$B$20*AQ36</f>
        <v>650.30466652901089</v>
      </c>
      <c r="AR101" s="147">
        <f>Sheet4!$B$20*AR36</f>
        <v>662.81052550072263</v>
      </c>
      <c r="AS101" s="147">
        <f>Sheet4!$B$20*AS36</f>
        <v>675.31638447243438</v>
      </c>
      <c r="AT101" s="147">
        <f>Sheet4!$B$20*AT36</f>
        <v>687.82224344414612</v>
      </c>
      <c r="AU101" s="147">
        <f>Sheet4!$B$20*AU36</f>
        <v>700.32810241585798</v>
      </c>
      <c r="AV101" s="147">
        <f>Sheet4!$B$20*AV36</f>
        <v>712.83396138756973</v>
      </c>
      <c r="AW101" s="147">
        <f>Sheet4!$B$20*AW36</f>
        <v>725.33982035928148</v>
      </c>
      <c r="AX101" s="147">
        <f>Sheet4!$B$20*AX36</f>
        <v>731.59274984513729</v>
      </c>
      <c r="AY101" s="147">
        <f>Sheet4!$B$20*AY36</f>
        <v>737.84567933099322</v>
      </c>
      <c r="AZ101" s="147">
        <f>Sheet4!$B$20*AZ36</f>
        <v>744.09860881684904</v>
      </c>
      <c r="BA101" s="147">
        <f>Sheet4!$B$20*BA36</f>
        <v>750.35153830270497</v>
      </c>
      <c r="BB101" s="147">
        <f>Sheet4!$B$20*BB36</f>
        <v>756.60446778856078</v>
      </c>
      <c r="BC101" s="147">
        <f>Sheet4!$B$20*BC36</f>
        <v>762.85739727441671</v>
      </c>
      <c r="BD101" s="147">
        <f>Sheet4!$B$20*BD36</f>
        <v>769.11032676027253</v>
      </c>
      <c r="BE101" s="147">
        <f>Sheet4!$B$20*BE36</f>
        <v>775.36325624612846</v>
      </c>
      <c r="BF101" s="147">
        <f>Sheet4!$B$20*BF36</f>
        <v>781.61618573198427</v>
      </c>
      <c r="BG101" s="147">
        <f>Sheet4!$B$20*BG36</f>
        <v>787.8691152178402</v>
      </c>
      <c r="BH101" s="147">
        <f>Sheet4!$B$20*BH36</f>
        <v>794.12204470369602</v>
      </c>
      <c r="BI101" s="147">
        <f>Sheet4!$B$20*BI36</f>
        <v>800.37497418955195</v>
      </c>
      <c r="BJ101" s="147"/>
      <c r="BK101" s="282">
        <f t="shared" si="373"/>
        <v>2476.1600763989263</v>
      </c>
      <c r="BL101" s="147">
        <f t="shared" si="379"/>
        <v>4277.0037683254186</v>
      </c>
      <c r="BM101" s="147">
        <f t="shared" si="380"/>
        <v>6077.8474602519109</v>
      </c>
      <c r="BN101" s="147">
        <f t="shared" si="381"/>
        <v>7878.6911521784004</v>
      </c>
      <c r="BO101" s="147">
        <f t="shared" si="382"/>
        <v>9191.8063442081329</v>
      </c>
      <c r="BP101" s="256"/>
      <c r="BQ101" s="397">
        <f t="shared" si="383"/>
        <v>6.4181980865854497E-3</v>
      </c>
      <c r="BR101" s="393">
        <f t="shared" si="384"/>
        <v>6.4181980865854506E-3</v>
      </c>
      <c r="BS101" s="393">
        <f t="shared" si="385"/>
        <v>6.4181980865854506E-3</v>
      </c>
      <c r="BT101" s="393">
        <f t="shared" si="386"/>
        <v>6.4181980865854488E-3</v>
      </c>
      <c r="BU101" s="393">
        <f t="shared" si="387"/>
        <v>6.418198086585448E-3</v>
      </c>
      <c r="BZ101" s="286" t="s">
        <v>335</v>
      </c>
    </row>
    <row r="102" spans="1:78">
      <c r="A102" s="262" t="s">
        <v>351</v>
      </c>
      <c r="B102" s="147">
        <f>Sheet4!$B$21*B36</f>
        <v>621.57150000000001</v>
      </c>
      <c r="C102" s="147">
        <f>Sheet4!$B$21*C36</f>
        <v>678.07800000000009</v>
      </c>
      <c r="D102" s="147">
        <f>Sheet4!$B$21*D36</f>
        <v>734.58450000000005</v>
      </c>
      <c r="E102" s="147">
        <f>Sheet4!$B$21*E36</f>
        <v>791.09100000000001</v>
      </c>
      <c r="F102" s="147">
        <f>Sheet4!$B$21*F36</f>
        <v>847.59750000000008</v>
      </c>
      <c r="G102" s="147">
        <f>Sheet4!$B$21*G36</f>
        <v>904.10400000000004</v>
      </c>
      <c r="H102" s="147">
        <f>Sheet4!$B$21*H36</f>
        <v>960.6105</v>
      </c>
      <c r="I102" s="147">
        <f>Sheet4!$B$21*I36</f>
        <v>1017.1170000000001</v>
      </c>
      <c r="J102" s="147">
        <f>Sheet4!$B$21*J36</f>
        <v>1073.6235000000001</v>
      </c>
      <c r="K102" s="147">
        <f>Sheet4!$B$21*K36</f>
        <v>1130.1300000000001</v>
      </c>
      <c r="L102" s="147">
        <f>Sheet4!$B$21*L36</f>
        <v>1186.6365000000001</v>
      </c>
      <c r="M102" s="147">
        <f>Sheet4!$B$21*M36</f>
        <v>1243.143</v>
      </c>
      <c r="N102" s="147">
        <f>Sheet4!$B$21*N36</f>
        <v>1299.6495</v>
      </c>
      <c r="O102" s="147">
        <f>Sheet4!$B$21*O36</f>
        <v>1356.1560000000002</v>
      </c>
      <c r="P102" s="147">
        <f>Sheet4!$B$21*P36</f>
        <v>1412.6625000000001</v>
      </c>
      <c r="Q102" s="147">
        <f>Sheet4!$B$21*Q36</f>
        <v>1469.1690000000001</v>
      </c>
      <c r="R102" s="147">
        <f>Sheet4!$B$21*R36</f>
        <v>1525.6755000000001</v>
      </c>
      <c r="S102" s="147">
        <f>Sheet4!$B$21*S36</f>
        <v>1582.182</v>
      </c>
      <c r="T102" s="147">
        <f>Sheet4!$B$21*T36</f>
        <v>1638.6885</v>
      </c>
      <c r="U102" s="147">
        <f>Sheet4!$B$21*U36</f>
        <v>1695.1950000000002</v>
      </c>
      <c r="V102" s="147">
        <f>Sheet4!$B$21*V36</f>
        <v>1751.7015000000001</v>
      </c>
      <c r="W102" s="147">
        <f>Sheet4!$B$21*W36</f>
        <v>1808.2080000000001</v>
      </c>
      <c r="X102" s="147">
        <f>Sheet4!$B$21*X36</f>
        <v>1864.7145</v>
      </c>
      <c r="Y102" s="147">
        <f>Sheet4!$B$21*Y36</f>
        <v>1921.221</v>
      </c>
      <c r="Z102" s="147">
        <f>Sheet4!$B$21*Z36</f>
        <v>1977.7275000000002</v>
      </c>
      <c r="AA102" s="147">
        <f>Sheet4!$B$21*AA36</f>
        <v>2034.2340000000002</v>
      </c>
      <c r="AB102" s="147">
        <f>Sheet4!$B$21*AB36</f>
        <v>2090.7404999999999</v>
      </c>
      <c r="AC102" s="147">
        <f>Sheet4!$B$21*AC36</f>
        <v>2147.2470000000003</v>
      </c>
      <c r="AD102" s="147">
        <f>Sheet4!$B$21*AD36</f>
        <v>2203.7535000000003</v>
      </c>
      <c r="AE102" s="147">
        <f>Sheet4!$B$21*AE36</f>
        <v>2260.2600000000002</v>
      </c>
      <c r="AF102" s="147">
        <f>Sheet4!$B$21*AF36</f>
        <v>2316.7665000000002</v>
      </c>
      <c r="AG102" s="147">
        <f>Sheet4!$B$21*AG36</f>
        <v>2373.2730000000001</v>
      </c>
      <c r="AH102" s="147">
        <f>Sheet4!$B$21*AH36</f>
        <v>2429.7795000000001</v>
      </c>
      <c r="AI102" s="147">
        <f>Sheet4!$B$21*AI36</f>
        <v>2486.2860000000001</v>
      </c>
      <c r="AJ102" s="147">
        <f>Sheet4!$B$21*AJ36</f>
        <v>2542.7925</v>
      </c>
      <c r="AK102" s="147">
        <f>Sheet4!$B$21*AK36</f>
        <v>2599.299</v>
      </c>
      <c r="AL102" s="147">
        <f>Sheet4!$B$21*AL36</f>
        <v>2655.8054999999999</v>
      </c>
      <c r="AM102" s="147">
        <f>Sheet4!$B$21*AM36</f>
        <v>2712.3120000000004</v>
      </c>
      <c r="AN102" s="147">
        <f>Sheet4!$B$21*AN36</f>
        <v>2768.8185000000003</v>
      </c>
      <c r="AO102" s="147">
        <f>Sheet4!$B$21*AO36</f>
        <v>2825.3250000000003</v>
      </c>
      <c r="AP102" s="147">
        <f>Sheet4!$B$21*AP36</f>
        <v>2881.8315000000002</v>
      </c>
      <c r="AQ102" s="147">
        <f>Sheet4!$B$21*AQ36</f>
        <v>2938.3380000000002</v>
      </c>
      <c r="AR102" s="147">
        <f>Sheet4!$B$21*AR36</f>
        <v>2994.8445000000002</v>
      </c>
      <c r="AS102" s="147">
        <f>Sheet4!$B$21*AS36</f>
        <v>3051.3510000000001</v>
      </c>
      <c r="AT102" s="147">
        <f>Sheet4!$B$21*AT36</f>
        <v>3107.8575000000001</v>
      </c>
      <c r="AU102" s="147">
        <f>Sheet4!$B$21*AU36</f>
        <v>3164.364</v>
      </c>
      <c r="AV102" s="147">
        <f>Sheet4!$B$21*AV36</f>
        <v>3220.8705</v>
      </c>
      <c r="AW102" s="147">
        <f>Sheet4!$B$21*AW36</f>
        <v>3277.377</v>
      </c>
      <c r="AX102" s="147">
        <f>Sheet4!$B$21*AX36</f>
        <v>3305.6302500000002</v>
      </c>
      <c r="AY102" s="147">
        <f>Sheet4!$B$21*AY36</f>
        <v>3333.8835000000004</v>
      </c>
      <c r="AZ102" s="147">
        <f>Sheet4!$B$21*AZ36</f>
        <v>3362.1367500000001</v>
      </c>
      <c r="BA102" s="147">
        <f>Sheet4!$B$21*BA36</f>
        <v>3390.3900000000003</v>
      </c>
      <c r="BB102" s="147">
        <f>Sheet4!$B$21*BB36</f>
        <v>3418.6432500000001</v>
      </c>
      <c r="BC102" s="147">
        <f>Sheet4!$B$21*BC36</f>
        <v>3446.8965000000003</v>
      </c>
      <c r="BD102" s="147">
        <f>Sheet4!$B$21*BD36</f>
        <v>3475.14975</v>
      </c>
      <c r="BE102" s="147">
        <f>Sheet4!$B$21*BE36</f>
        <v>3503.4030000000002</v>
      </c>
      <c r="BF102" s="147">
        <f>Sheet4!$B$21*BF36</f>
        <v>3531.65625</v>
      </c>
      <c r="BG102" s="147">
        <f>Sheet4!$B$21*BG36</f>
        <v>3559.9095000000002</v>
      </c>
      <c r="BH102" s="147">
        <f>Sheet4!$B$21*BH36</f>
        <v>3588.16275</v>
      </c>
      <c r="BI102" s="147">
        <f>Sheet4!$B$21*BI36</f>
        <v>3616.4160000000002</v>
      </c>
      <c r="BJ102" s="147"/>
      <c r="BK102" s="282">
        <f t="shared" si="373"/>
        <v>11188.287</v>
      </c>
      <c r="BL102" s="147">
        <f t="shared" si="379"/>
        <v>19325.223000000002</v>
      </c>
      <c r="BM102" s="147">
        <f t="shared" si="380"/>
        <v>27462.159</v>
      </c>
      <c r="BN102" s="147">
        <f t="shared" si="381"/>
        <v>35599.095000000001</v>
      </c>
      <c r="BO102" s="147">
        <f t="shared" si="382"/>
        <v>41532.277500000004</v>
      </c>
      <c r="BP102" s="256"/>
      <c r="BQ102" s="397">
        <f t="shared" si="383"/>
        <v>2.9000000000000001E-2</v>
      </c>
      <c r="BR102" s="393">
        <f t="shared" si="384"/>
        <v>2.9000000000000001E-2</v>
      </c>
      <c r="BS102" s="393">
        <f t="shared" si="385"/>
        <v>2.8999999999999998E-2</v>
      </c>
      <c r="BT102" s="393">
        <f t="shared" si="386"/>
        <v>2.9000000000000001E-2</v>
      </c>
      <c r="BU102" s="393">
        <f t="shared" si="387"/>
        <v>2.9000000000000001E-2</v>
      </c>
    </row>
    <row r="103" spans="1:78">
      <c r="A103" s="129" t="s">
        <v>352</v>
      </c>
      <c r="B103" s="257">
        <f>SUM(B92:B102)</f>
        <v>37252.332055337596</v>
      </c>
      <c r="C103" s="257">
        <f t="shared" ref="C103:BI103" si="388">SUM(C92:C102)</f>
        <v>1477.9986058228371</v>
      </c>
      <c r="D103" s="257">
        <f t="shared" si="388"/>
        <v>1601.1651563080736</v>
      </c>
      <c r="E103" s="257">
        <f t="shared" si="388"/>
        <v>1724.3317067933099</v>
      </c>
      <c r="F103" s="257">
        <f t="shared" si="388"/>
        <v>1847.4982572785466</v>
      </c>
      <c r="G103" s="257">
        <f t="shared" si="388"/>
        <v>1970.6648077637828</v>
      </c>
      <c r="H103" s="257">
        <f t="shared" si="388"/>
        <v>2093.8313582490191</v>
      </c>
      <c r="I103" s="257">
        <f t="shared" si="388"/>
        <v>2216.9979087342558</v>
      </c>
      <c r="J103" s="257">
        <f t="shared" si="388"/>
        <v>2340.1644592194925</v>
      </c>
      <c r="K103" s="257">
        <f t="shared" si="388"/>
        <v>2463.3310097047288</v>
      </c>
      <c r="L103" s="257">
        <f t="shared" si="388"/>
        <v>2586.497560189965</v>
      </c>
      <c r="M103" s="257">
        <f t="shared" si="388"/>
        <v>2709.6641106752013</v>
      </c>
      <c r="N103" s="257">
        <f t="shared" si="388"/>
        <v>2832.8306611604376</v>
      </c>
      <c r="O103" s="257">
        <f t="shared" si="388"/>
        <v>2955.9972116456743</v>
      </c>
      <c r="P103" s="257">
        <f t="shared" si="388"/>
        <v>3079.163762130911</v>
      </c>
      <c r="Q103" s="257">
        <f t="shared" si="388"/>
        <v>3202.3303126161472</v>
      </c>
      <c r="R103" s="257">
        <f t="shared" si="388"/>
        <v>3325.4968631013835</v>
      </c>
      <c r="S103" s="257">
        <f t="shared" si="388"/>
        <v>3448.6634135866198</v>
      </c>
      <c r="T103" s="257">
        <f t="shared" si="388"/>
        <v>3571.829964071856</v>
      </c>
      <c r="U103" s="257">
        <f t="shared" si="388"/>
        <v>3694.9965145570932</v>
      </c>
      <c r="V103" s="257">
        <f t="shared" si="388"/>
        <v>3818.1630650423294</v>
      </c>
      <c r="W103" s="257">
        <f t="shared" si="388"/>
        <v>3941.3296155275657</v>
      </c>
      <c r="X103" s="257">
        <f t="shared" si="388"/>
        <v>4064.496166012802</v>
      </c>
      <c r="Y103" s="257">
        <f t="shared" si="388"/>
        <v>4187.6627164980382</v>
      </c>
      <c r="Z103" s="257">
        <f t="shared" si="388"/>
        <v>4310.8292669832754</v>
      </c>
      <c r="AA103" s="257">
        <f t="shared" si="388"/>
        <v>4433.9958174685116</v>
      </c>
      <c r="AB103" s="257">
        <f t="shared" si="388"/>
        <v>4557.1623679537479</v>
      </c>
      <c r="AC103" s="257">
        <f t="shared" si="388"/>
        <v>4680.3289184389851</v>
      </c>
      <c r="AD103" s="257">
        <f t="shared" si="388"/>
        <v>4803.4954689242204</v>
      </c>
      <c r="AE103" s="257">
        <f t="shared" si="388"/>
        <v>4926.6620194094576</v>
      </c>
      <c r="AF103" s="257">
        <f t="shared" si="388"/>
        <v>5049.8285698946938</v>
      </c>
      <c r="AG103" s="257">
        <f t="shared" si="388"/>
        <v>5172.9951203799301</v>
      </c>
      <c r="AH103" s="257">
        <f t="shared" si="388"/>
        <v>5296.1616708651654</v>
      </c>
      <c r="AI103" s="257">
        <f t="shared" si="388"/>
        <v>5419.3282213504026</v>
      </c>
      <c r="AJ103" s="257">
        <f t="shared" si="388"/>
        <v>5542.4947718356398</v>
      </c>
      <c r="AK103" s="257">
        <f t="shared" si="388"/>
        <v>5665.6613223208751</v>
      </c>
      <c r="AL103" s="257">
        <f t="shared" si="388"/>
        <v>5788.8278728061123</v>
      </c>
      <c r="AM103" s="257">
        <f t="shared" si="388"/>
        <v>5911.9944232913485</v>
      </c>
      <c r="AN103" s="257">
        <f t="shared" si="388"/>
        <v>6035.1609737765848</v>
      </c>
      <c r="AO103" s="257">
        <f t="shared" si="388"/>
        <v>6158.327524261822</v>
      </c>
      <c r="AP103" s="257">
        <f t="shared" si="388"/>
        <v>6281.4940747470582</v>
      </c>
      <c r="AQ103" s="257">
        <f t="shared" si="388"/>
        <v>6404.6606252322945</v>
      </c>
      <c r="AR103" s="257">
        <f t="shared" si="388"/>
        <v>6527.8271757175307</v>
      </c>
      <c r="AS103" s="257">
        <f t="shared" si="388"/>
        <v>6650.993726202767</v>
      </c>
      <c r="AT103" s="257">
        <f t="shared" si="388"/>
        <v>6774.1602766880033</v>
      </c>
      <c r="AU103" s="257">
        <f t="shared" si="388"/>
        <v>6897.3268271732395</v>
      </c>
      <c r="AV103" s="257">
        <f t="shared" si="388"/>
        <v>7020.4933776584767</v>
      </c>
      <c r="AW103" s="257">
        <f t="shared" si="388"/>
        <v>7143.659928143712</v>
      </c>
      <c r="AX103" s="257">
        <f t="shared" si="388"/>
        <v>7205.2432033863315</v>
      </c>
      <c r="AY103" s="257">
        <f t="shared" si="388"/>
        <v>7266.8264786289492</v>
      </c>
      <c r="AZ103" s="257">
        <f t="shared" si="388"/>
        <v>7328.4097538715669</v>
      </c>
      <c r="BA103" s="257">
        <f t="shared" si="388"/>
        <v>7389.9930291141864</v>
      </c>
      <c r="BB103" s="257">
        <f t="shared" si="388"/>
        <v>7451.576304356804</v>
      </c>
      <c r="BC103" s="257">
        <f t="shared" si="388"/>
        <v>7513.1595795994217</v>
      </c>
      <c r="BD103" s="257">
        <f t="shared" si="388"/>
        <v>7574.7428548420412</v>
      </c>
      <c r="BE103" s="257">
        <f t="shared" si="388"/>
        <v>7636.3261300846589</v>
      </c>
      <c r="BF103" s="257">
        <f t="shared" si="388"/>
        <v>7697.9094053272756</v>
      </c>
      <c r="BG103" s="257">
        <f t="shared" si="388"/>
        <v>7759.4926805698942</v>
      </c>
      <c r="BH103" s="257">
        <f t="shared" si="388"/>
        <v>7821.0759558125137</v>
      </c>
      <c r="BI103" s="257">
        <f t="shared" si="388"/>
        <v>7882.6592310551314</v>
      </c>
      <c r="BJ103" s="283"/>
      <c r="BK103" s="284">
        <f t="shared" si="373"/>
        <v>60284.47699607681</v>
      </c>
      <c r="BL103" s="257">
        <f>SUM(N103:Y103)</f>
        <v>42122.96026595086</v>
      </c>
      <c r="BM103" s="257">
        <f t="shared" si="380"/>
        <v>59858.94353582491</v>
      </c>
      <c r="BN103" s="257">
        <f t="shared" si="381"/>
        <v>77594.926805698939</v>
      </c>
      <c r="BO103" s="257">
        <f t="shared" si="382"/>
        <v>90527.414606648774</v>
      </c>
      <c r="BP103" s="256"/>
      <c r="BQ103" s="408">
        <f>BK103/BK$36</f>
        <v>0.15625714936399357</v>
      </c>
      <c r="BR103" s="409">
        <f t="shared" si="384"/>
        <v>6.3210957395553727E-2</v>
      </c>
      <c r="BS103" s="409">
        <f t="shared" si="385"/>
        <v>6.3210957395553727E-2</v>
      </c>
      <c r="BT103" s="409">
        <f t="shared" si="386"/>
        <v>6.3210957395553713E-2</v>
      </c>
      <c r="BU103" s="409">
        <f t="shared" si="387"/>
        <v>6.3210957395553727E-2</v>
      </c>
    </row>
    <row r="104" spans="1:78">
      <c r="A104" s="260"/>
      <c r="B104" s="146"/>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6"/>
      <c r="BL104" s="146"/>
      <c r="BM104" s="146"/>
      <c r="BN104" s="146"/>
      <c r="BO104" s="146"/>
      <c r="BP104" s="146"/>
      <c r="BQ104" s="144"/>
      <c r="BR104" s="144"/>
      <c r="BS104" s="144"/>
      <c r="BT104" s="144"/>
      <c r="BU104" s="144"/>
    </row>
    <row r="105" spans="1:78">
      <c r="A105" s="129" t="s">
        <v>101</v>
      </c>
      <c r="B105" s="153">
        <f t="shared" ref="B105:M105" si="389">B103+B88+B79+B65</f>
        <v>47069.662550960951</v>
      </c>
      <c r="C105" s="153">
        <f t="shared" si="389"/>
        <v>11440.443455616187</v>
      </c>
      <c r="D105" s="153">
        <f t="shared" si="389"/>
        <v>11708.724360271422</v>
      </c>
      <c r="E105" s="153">
        <f t="shared" si="389"/>
        <v>11977.005264926658</v>
      </c>
      <c r="F105" s="153">
        <f t="shared" si="389"/>
        <v>12245.286169581896</v>
      </c>
      <c r="G105" s="153">
        <f t="shared" si="389"/>
        <v>12513.567074237133</v>
      </c>
      <c r="H105" s="153">
        <f t="shared" si="389"/>
        <v>12781.847978892369</v>
      </c>
      <c r="I105" s="153">
        <f t="shared" si="389"/>
        <v>13050.128883547601</v>
      </c>
      <c r="J105" s="153">
        <f t="shared" si="389"/>
        <v>13318.409788202838</v>
      </c>
      <c r="K105" s="153">
        <f t="shared" si="389"/>
        <v>13586.690692858076</v>
      </c>
      <c r="L105" s="153">
        <f t="shared" si="389"/>
        <v>13854.971597513311</v>
      </c>
      <c r="M105" s="153">
        <f t="shared" si="389"/>
        <v>14123.252502168547</v>
      </c>
      <c r="N105" s="153">
        <f t="shared" ref="N105:AN105" si="390">N103+N88+N79+N65</f>
        <v>14391.533406823783</v>
      </c>
      <c r="O105" s="153">
        <f t="shared" si="390"/>
        <v>14659.814311479018</v>
      </c>
      <c r="P105" s="153">
        <f t="shared" si="390"/>
        <v>14928.095216134254</v>
      </c>
      <c r="Q105" s="153">
        <f t="shared" si="390"/>
        <v>15196.37612078949</v>
      </c>
      <c r="R105" s="153">
        <f t="shared" si="390"/>
        <v>15464.657025444729</v>
      </c>
      <c r="S105" s="153">
        <f t="shared" si="390"/>
        <v>15732.937930099961</v>
      </c>
      <c r="T105" s="153">
        <f t="shared" si="390"/>
        <v>16001.2188347552</v>
      </c>
      <c r="U105" s="153">
        <f t="shared" si="390"/>
        <v>16269.499739410436</v>
      </c>
      <c r="V105" s="153">
        <f t="shared" si="390"/>
        <v>16537.780644065671</v>
      </c>
      <c r="W105" s="153">
        <f t="shared" si="390"/>
        <v>16806.061548720907</v>
      </c>
      <c r="X105" s="153">
        <f t="shared" si="390"/>
        <v>17074.342453376143</v>
      </c>
      <c r="Y105" s="153">
        <f t="shared" si="390"/>
        <v>17342.623358031378</v>
      </c>
      <c r="Z105" s="153">
        <f t="shared" si="390"/>
        <v>17610.904262686614</v>
      </c>
      <c r="AA105" s="153">
        <f t="shared" si="390"/>
        <v>17879.18516734185</v>
      </c>
      <c r="AB105" s="153">
        <f t="shared" si="390"/>
        <v>18147.466071997085</v>
      </c>
      <c r="AC105" s="153">
        <f t="shared" si="390"/>
        <v>18415.746976652325</v>
      </c>
      <c r="AD105" s="153">
        <f t="shared" si="390"/>
        <v>18684.027881307557</v>
      </c>
      <c r="AE105" s="153">
        <f t="shared" si="390"/>
        <v>18952.308785962796</v>
      </c>
      <c r="AF105" s="153">
        <f t="shared" si="390"/>
        <v>19220.589690618031</v>
      </c>
      <c r="AG105" s="153">
        <f t="shared" si="390"/>
        <v>19488.870595273267</v>
      </c>
      <c r="AH105" s="153">
        <f t="shared" si="390"/>
        <v>19757.151499928499</v>
      </c>
      <c r="AI105" s="153">
        <f t="shared" si="390"/>
        <v>20025.432404583738</v>
      </c>
      <c r="AJ105" s="153">
        <f t="shared" si="390"/>
        <v>20293.713309238978</v>
      </c>
      <c r="AK105" s="153">
        <f t="shared" si="390"/>
        <v>20561.99421389421</v>
      </c>
      <c r="AL105" s="153">
        <f t="shared" si="390"/>
        <v>20830.275118549449</v>
      </c>
      <c r="AM105" s="153">
        <f t="shared" si="390"/>
        <v>21098.556023204685</v>
      </c>
      <c r="AN105" s="153">
        <f t="shared" si="390"/>
        <v>21366.83692785992</v>
      </c>
      <c r="AO105" s="153">
        <f t="shared" ref="AO105:BI105" si="391">AO103+AO88+AO79+AO65</f>
        <v>21635.117832515156</v>
      </c>
      <c r="AP105" s="153">
        <f t="shared" si="391"/>
        <v>21903.398737170392</v>
      </c>
      <c r="AQ105" s="153">
        <f t="shared" si="391"/>
        <v>22171.679641825627</v>
      </c>
      <c r="AR105" s="153">
        <f t="shared" si="391"/>
        <v>22439.960546480863</v>
      </c>
      <c r="AS105" s="153">
        <f t="shared" si="391"/>
        <v>22708.241451136098</v>
      </c>
      <c r="AT105" s="153">
        <f t="shared" si="391"/>
        <v>22976.522355791334</v>
      </c>
      <c r="AU105" s="153">
        <f t="shared" si="391"/>
        <v>23244.80326044657</v>
      </c>
      <c r="AV105" s="153">
        <f t="shared" si="391"/>
        <v>23513.084165101805</v>
      </c>
      <c r="AW105" s="153">
        <f t="shared" si="391"/>
        <v>23781.365069757041</v>
      </c>
      <c r="AX105" s="153">
        <f t="shared" si="391"/>
        <v>23915.505522084663</v>
      </c>
      <c r="AY105" s="153">
        <f t="shared" si="391"/>
        <v>24049.64597441228</v>
      </c>
      <c r="AZ105" s="153">
        <f t="shared" si="391"/>
        <v>24183.786426739898</v>
      </c>
      <c r="BA105" s="153">
        <f t="shared" si="391"/>
        <v>24317.926879067516</v>
      </c>
      <c r="BB105" s="153">
        <f t="shared" si="391"/>
        <v>24452.067331395134</v>
      </c>
      <c r="BC105" s="153">
        <f t="shared" si="391"/>
        <v>24586.207783722748</v>
      </c>
      <c r="BD105" s="153">
        <f t="shared" si="391"/>
        <v>24720.348236050369</v>
      </c>
      <c r="BE105" s="153">
        <f t="shared" si="391"/>
        <v>24854.488688377984</v>
      </c>
      <c r="BF105" s="153">
        <f t="shared" si="391"/>
        <v>24988.629140705601</v>
      </c>
      <c r="BG105" s="153">
        <f t="shared" si="391"/>
        <v>25122.769593033223</v>
      </c>
      <c r="BH105" s="153">
        <f t="shared" si="391"/>
        <v>25256.910045360841</v>
      </c>
      <c r="BI105" s="153">
        <f t="shared" si="391"/>
        <v>25391.050497688459</v>
      </c>
      <c r="BJ105" s="153"/>
      <c r="BK105" s="130">
        <f>SUM(B105:M105)</f>
        <v>187669.99031877701</v>
      </c>
      <c r="BL105" s="257">
        <f>SUM(N105:Y105)</f>
        <v>190404.94058913097</v>
      </c>
      <c r="BM105" s="257">
        <f t="shared" ref="BM105" si="392">SUM(Z105:AK105)</f>
        <v>229037.39085948493</v>
      </c>
      <c r="BN105" s="257">
        <f t="shared" ref="BN105" si="393">SUM(AL105:AW105)</f>
        <v>267669.84112983895</v>
      </c>
      <c r="BO105" s="257">
        <f t="shared" ref="BO105" si="394">SUM(AX105:BI105)</f>
        <v>295839.33611863869</v>
      </c>
      <c r="BP105" s="146"/>
      <c r="BQ105" s="398">
        <f t="shared" si="383"/>
        <v>0.48643994556490494</v>
      </c>
      <c r="BR105" s="398">
        <f t="shared" si="384"/>
        <v>0.28572727347491916</v>
      </c>
      <c r="BS105" s="398">
        <f t="shared" si="385"/>
        <v>0.24186315194391902</v>
      </c>
      <c r="BT105" s="398">
        <f t="shared" si="386"/>
        <v>0.21805120025566183</v>
      </c>
      <c r="BU105" s="398">
        <f t="shared" si="387"/>
        <v>0.20657043783453777</v>
      </c>
    </row>
    <row r="106" spans="1:78">
      <c r="A106" s="110"/>
      <c r="B106" s="150"/>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c r="BE106" s="151"/>
      <c r="BF106" s="151"/>
      <c r="BG106" s="151"/>
      <c r="BH106" s="151"/>
      <c r="BI106" s="151"/>
      <c r="BJ106" s="151"/>
      <c r="BK106" s="146"/>
      <c r="BL106" s="146"/>
      <c r="BM106" s="146"/>
      <c r="BN106" s="146"/>
      <c r="BO106" s="146"/>
      <c r="BP106" s="146"/>
      <c r="BQ106" s="144"/>
      <c r="BR106" s="144"/>
      <c r="BS106" s="144"/>
      <c r="BT106" s="144"/>
      <c r="BU106" s="144"/>
    </row>
    <row r="107" spans="1:78">
      <c r="A107" s="129" t="s">
        <v>74</v>
      </c>
      <c r="B107" s="153">
        <f t="shared" ref="B107:M107" si="395">B57-B105</f>
        <v>-40551.599186012769</v>
      </c>
      <c r="C107" s="153">
        <f t="shared" si="395"/>
        <v>-4329.8288756727106</v>
      </c>
      <c r="D107" s="153">
        <f t="shared" si="395"/>
        <v>-4005.5585653326561</v>
      </c>
      <c r="E107" s="153">
        <f t="shared" si="395"/>
        <v>-3681.2882549926035</v>
      </c>
      <c r="F107" s="153">
        <f t="shared" si="395"/>
        <v>-3357.017944652549</v>
      </c>
      <c r="G107" s="153">
        <f t="shared" si="395"/>
        <v>-3032.7476343124945</v>
      </c>
      <c r="H107" s="153">
        <f t="shared" si="395"/>
        <v>-2708.4773239724454</v>
      </c>
      <c r="I107" s="153">
        <f t="shared" si="395"/>
        <v>-2384.2070136323855</v>
      </c>
      <c r="J107" s="153">
        <f t="shared" si="395"/>
        <v>-2059.9367032923383</v>
      </c>
      <c r="K107" s="153">
        <f t="shared" si="395"/>
        <v>-1735.6663929522783</v>
      </c>
      <c r="L107" s="153">
        <f t="shared" si="395"/>
        <v>-1411.3960826122257</v>
      </c>
      <c r="M107" s="153">
        <f t="shared" si="395"/>
        <v>-1087.1257722721766</v>
      </c>
      <c r="N107" s="153">
        <f t="shared" ref="N107:AN107" si="396">N57-N105</f>
        <v>-762.85546193212031</v>
      </c>
      <c r="O107" s="153">
        <f t="shared" si="396"/>
        <v>-438.58515159206581</v>
      </c>
      <c r="P107" s="153">
        <f t="shared" si="396"/>
        <v>-114.31484125201314</v>
      </c>
      <c r="Q107" s="153">
        <f t="shared" si="396"/>
        <v>209.95546908804317</v>
      </c>
      <c r="R107" s="153">
        <f t="shared" si="396"/>
        <v>534.22577942809221</v>
      </c>
      <c r="S107" s="153">
        <f t="shared" si="396"/>
        <v>858.49608976814852</v>
      </c>
      <c r="T107" s="153">
        <f t="shared" si="396"/>
        <v>1182.7664001082012</v>
      </c>
      <c r="U107" s="153">
        <f t="shared" si="396"/>
        <v>1507.0367104482575</v>
      </c>
      <c r="V107" s="153">
        <f t="shared" si="396"/>
        <v>1831.3070207883138</v>
      </c>
      <c r="W107" s="153">
        <f t="shared" si="396"/>
        <v>2155.5773311283701</v>
      </c>
      <c r="X107" s="153">
        <f t="shared" si="396"/>
        <v>2479.8476414684155</v>
      </c>
      <c r="Y107" s="153">
        <f t="shared" si="396"/>
        <v>2804.1179518084682</v>
      </c>
      <c r="Z107" s="153">
        <f t="shared" si="396"/>
        <v>3128.3882621485172</v>
      </c>
      <c r="AA107" s="153">
        <f t="shared" si="396"/>
        <v>3452.6585724885808</v>
      </c>
      <c r="AB107" s="153">
        <f t="shared" si="396"/>
        <v>3776.9288828286335</v>
      </c>
      <c r="AC107" s="153">
        <f t="shared" si="396"/>
        <v>4101.1991931686753</v>
      </c>
      <c r="AD107" s="153">
        <f t="shared" si="396"/>
        <v>4425.4695035087498</v>
      </c>
      <c r="AE107" s="153">
        <f t="shared" si="396"/>
        <v>4749.7398138487988</v>
      </c>
      <c r="AF107" s="153">
        <f t="shared" si="396"/>
        <v>5074.0101241888442</v>
      </c>
      <c r="AG107" s="153">
        <f t="shared" si="396"/>
        <v>5398.2804345289042</v>
      </c>
      <c r="AH107" s="153">
        <f t="shared" si="396"/>
        <v>5722.5507448689605</v>
      </c>
      <c r="AI107" s="153">
        <f t="shared" si="396"/>
        <v>6046.8210552090022</v>
      </c>
      <c r="AJ107" s="153">
        <f t="shared" si="396"/>
        <v>6371.0913655490513</v>
      </c>
      <c r="AK107" s="153">
        <f t="shared" si="396"/>
        <v>6695.3616758891148</v>
      </c>
      <c r="AL107" s="153">
        <f t="shared" si="396"/>
        <v>7019.6319862291639</v>
      </c>
      <c r="AM107" s="153">
        <f t="shared" si="396"/>
        <v>7343.9022965692202</v>
      </c>
      <c r="AN107" s="153">
        <f t="shared" si="396"/>
        <v>7668.1726069092801</v>
      </c>
      <c r="AO107" s="153">
        <f t="shared" ref="AO107:BI107" si="397">AO57-AO105</f>
        <v>7992.4429172493255</v>
      </c>
      <c r="AP107" s="153">
        <f t="shared" si="397"/>
        <v>8316.7132275893782</v>
      </c>
      <c r="AQ107" s="153">
        <f t="shared" si="397"/>
        <v>8640.9835379294382</v>
      </c>
      <c r="AR107" s="153">
        <f t="shared" si="397"/>
        <v>8965.2538482694981</v>
      </c>
      <c r="AS107" s="153">
        <f t="shared" si="397"/>
        <v>9289.5241586095435</v>
      </c>
      <c r="AT107" s="153">
        <f t="shared" si="397"/>
        <v>9613.7944689496035</v>
      </c>
      <c r="AU107" s="153">
        <f t="shared" si="397"/>
        <v>9938.0647792896489</v>
      </c>
      <c r="AV107" s="153">
        <f t="shared" si="397"/>
        <v>10262.335089629698</v>
      </c>
      <c r="AW107" s="153">
        <f t="shared" si="397"/>
        <v>10586.605399969761</v>
      </c>
      <c r="AX107" s="153">
        <f t="shared" si="397"/>
        <v>10748.74055513979</v>
      </c>
      <c r="AY107" s="153">
        <f t="shared" si="397"/>
        <v>10910.875710309814</v>
      </c>
      <c r="AZ107" s="153">
        <f t="shared" si="397"/>
        <v>11073.010865479831</v>
      </c>
      <c r="BA107" s="153">
        <f t="shared" si="397"/>
        <v>11235.14602064987</v>
      </c>
      <c r="BB107" s="153">
        <f t="shared" si="397"/>
        <v>11397.281175819888</v>
      </c>
      <c r="BC107" s="153">
        <f t="shared" si="397"/>
        <v>11559.416330989916</v>
      </c>
      <c r="BD107" s="153">
        <f t="shared" si="397"/>
        <v>11721.551486159937</v>
      </c>
      <c r="BE107" s="153">
        <f t="shared" si="397"/>
        <v>11883.686641329987</v>
      </c>
      <c r="BF107" s="153">
        <f t="shared" si="397"/>
        <v>12045.821796500011</v>
      </c>
      <c r="BG107" s="153">
        <f t="shared" si="397"/>
        <v>12207.956951670018</v>
      </c>
      <c r="BH107" s="153">
        <f t="shared" si="397"/>
        <v>12370.092106840057</v>
      </c>
      <c r="BI107" s="153">
        <f t="shared" si="397"/>
        <v>12532.227262010096</v>
      </c>
      <c r="BJ107" s="153"/>
      <c r="BK107" s="153">
        <f>SUM(B107:M107)</f>
        <v>-70344.849749709625</v>
      </c>
      <c r="BL107" s="257">
        <f>SUM(N107:Y107)</f>
        <v>12247.574939258111</v>
      </c>
      <c r="BM107" s="257">
        <f t="shared" ref="BM107" si="398">SUM(Z107:AK107)</f>
        <v>58942.499628225829</v>
      </c>
      <c r="BN107" s="257">
        <f t="shared" ref="BN107" si="399">SUM(AL107:AW107)</f>
        <v>105637.42431719357</v>
      </c>
      <c r="BO107" s="257">
        <f t="shared" ref="BO107" si="400">SUM(AX107:BI107)</f>
        <v>139685.8069028992</v>
      </c>
      <c r="BP107" s="152"/>
      <c r="BQ107" s="398">
        <f t="shared" si="383"/>
        <v>-0.18233359966021423</v>
      </c>
      <c r="BR107" s="398">
        <f t="shared" si="384"/>
        <v>1.8379072429771454E-2</v>
      </c>
      <c r="BS107" s="398">
        <f t="shared" si="385"/>
        <v>6.2243193960771583E-2</v>
      </c>
      <c r="BT107" s="398">
        <f t="shared" si="386"/>
        <v>8.6055145649028816E-2</v>
      </c>
      <c r="BU107" s="398">
        <f t="shared" si="387"/>
        <v>9.7535908070152832E-2</v>
      </c>
    </row>
    <row r="108" spans="1:78">
      <c r="A108" s="160"/>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44"/>
      <c r="BR108" s="144"/>
      <c r="BS108" s="144"/>
      <c r="BT108" s="144"/>
      <c r="BU108" s="144"/>
    </row>
    <row r="109" spans="1:78">
      <c r="A109" s="160"/>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44"/>
      <c r="BR109" s="144"/>
      <c r="BS109" s="144"/>
      <c r="BT109" s="144"/>
      <c r="BU109" s="144"/>
    </row>
    <row r="110" spans="1:78">
      <c r="A110" s="110" t="s">
        <v>73</v>
      </c>
      <c r="B110" s="150"/>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154"/>
      <c r="BJ110" s="154"/>
      <c r="BK110" s="282"/>
      <c r="BL110" s="147"/>
      <c r="BM110" s="147"/>
      <c r="BN110" s="147"/>
      <c r="BO110" s="256"/>
      <c r="BP110" s="256"/>
      <c r="BQ110" s="397"/>
      <c r="BR110" s="393"/>
      <c r="BS110" s="393"/>
      <c r="BT110" s="393"/>
      <c r="BU110" s="144"/>
    </row>
    <row r="111" spans="1:78">
      <c r="A111" s="262" t="s">
        <v>58</v>
      </c>
      <c r="B111" s="155">
        <f>'Debt &amp; Equity'!D13</f>
        <v>1000</v>
      </c>
      <c r="C111" s="155">
        <f>'Debt &amp; Equity'!E13</f>
        <v>985.6671984705722</v>
      </c>
      <c r="D111" s="155">
        <f>'Debt &amp; Equity'!F13</f>
        <v>971.26273293349686</v>
      </c>
      <c r="E111" s="155">
        <f>'Debt &amp; Equity'!G13</f>
        <v>956.78624506873666</v>
      </c>
      <c r="F111" s="155">
        <f>'Debt &amp; Equity'!H13</f>
        <v>942.23737476465237</v>
      </c>
      <c r="G111" s="155">
        <f>'Debt &amp; Equity'!I13</f>
        <v>927.61576010904787</v>
      </c>
      <c r="H111" s="155">
        <f>'Debt &amp; Equity'!J13</f>
        <v>912.9210373801651</v>
      </c>
      <c r="I111" s="155">
        <f>'Debt &amp; Equity'!K13</f>
        <v>898.15284103763781</v>
      </c>
      <c r="J111" s="155">
        <f>'Debt &amp; Equity'!L13</f>
        <v>883.31080371339817</v>
      </c>
      <c r="K111" s="155">
        <f>'Debt &amp; Equity'!M13</f>
        <v>868.39455620253727</v>
      </c>
      <c r="L111" s="155">
        <f>'Debt &amp; Equity'!N13</f>
        <v>853.40372745412219</v>
      </c>
      <c r="M111" s="155">
        <f>'Debt &amp; Equity'!O13</f>
        <v>838.33794456196472</v>
      </c>
      <c r="N111" s="155">
        <f>'Debt &amp; Equity'!P13</f>
        <v>823.19683275534669</v>
      </c>
      <c r="O111" s="155">
        <f>'Debt &amp; Equity'!Q13</f>
        <v>807.9800153896955</v>
      </c>
      <c r="P111" s="155">
        <f>'Debt &amp; Equity'!R13</f>
        <v>792.68711393721594</v>
      </c>
      <c r="Q111" s="155">
        <f>'Debt &amp; Equity'!S13</f>
        <v>777.31774797747426</v>
      </c>
      <c r="R111" s="155">
        <f>'Debt &amp; Equity'!T13</f>
        <v>761.87153518793366</v>
      </c>
      <c r="S111" s="155">
        <f>'Debt &amp; Equity'!U13</f>
        <v>746.34809133444548</v>
      </c>
      <c r="T111" s="155">
        <f>'Debt &amp; Equity'!V13</f>
        <v>730.74703026168982</v>
      </c>
      <c r="U111" s="155">
        <f>'Debt &amp; Equity'!W13</f>
        <v>715.0679638835702</v>
      </c>
      <c r="V111" s="155">
        <f>'Debt &amp; Equity'!X13</f>
        <v>699.31050217356005</v>
      </c>
      <c r="W111" s="155">
        <f>'Debt &amp; Equity'!Y13</f>
        <v>683.47425315500004</v>
      </c>
      <c r="X111" s="155">
        <f>'Debt &amp; Equity'!Z13</f>
        <v>667.55882289134706</v>
      </c>
      <c r="Y111" s="155">
        <f>'Debt &amp; Equity'!AA13</f>
        <v>651.56381547637602</v>
      </c>
      <c r="Z111" s="155">
        <f>'Debt &amp; Equity'!AB13</f>
        <v>635.48883302433001</v>
      </c>
      <c r="AA111" s="155">
        <f>'Debt &amp; Equity'!AC13</f>
        <v>619.33347566002374</v>
      </c>
      <c r="AB111" s="155">
        <f>'Debt &amp; Equity'!AD13</f>
        <v>603.09734150889574</v>
      </c>
      <c r="AC111" s="155">
        <f>'Debt &amp; Equity'!AE13</f>
        <v>586.78002668701242</v>
      </c>
      <c r="AD111" s="155">
        <f>'Debt &amp; Equity'!AF13</f>
        <v>570.38112529101943</v>
      </c>
      <c r="AE111" s="155">
        <f>'Debt &amp; Equity'!AG13</f>
        <v>553.90022938804668</v>
      </c>
      <c r="AF111" s="155">
        <f>'Debt &amp; Equity'!AH13</f>
        <v>537.33692900555911</v>
      </c>
      <c r="AG111" s="155">
        <f>'Debt &amp; Equity'!AI13</f>
        <v>520.69081212115896</v>
      </c>
      <c r="AH111" s="155">
        <f>'Debt &amp; Equity'!AJ13</f>
        <v>503.96146465233676</v>
      </c>
      <c r="AI111" s="155">
        <f>'Debt &amp; Equity'!AK13</f>
        <v>487.14847044617056</v>
      </c>
      <c r="AJ111" s="155">
        <f>'Debt &amp; Equity'!AL13</f>
        <v>470.25141126897341</v>
      </c>
      <c r="AK111" s="155">
        <f>'Debt &amp; Equity'!AM13</f>
        <v>453.26986679589044</v>
      </c>
      <c r="AL111" s="155">
        <f>'Debt &amp; Equity'!AN13</f>
        <v>436.20341460044199</v>
      </c>
      <c r="AM111" s="155">
        <f>'Debt &amp; Equity'!AO13</f>
        <v>419.05163014401626</v>
      </c>
      <c r="AN111" s="155">
        <f>'Debt &amp; Equity'!AP13</f>
        <v>401.81408676530839</v>
      </c>
      <c r="AO111" s="155">
        <f>'Debt &amp; Equity'!AQ13</f>
        <v>384.49035566970707</v>
      </c>
      <c r="AP111" s="155">
        <f>'Debt &amp; Equity'!AR13</f>
        <v>367.08000591862765</v>
      </c>
      <c r="AQ111" s="155">
        <f>'Debt &amp; Equity'!AS13</f>
        <v>349.58260441879293</v>
      </c>
      <c r="AR111" s="155">
        <f>'Debt &amp; Equity'!AT13</f>
        <v>331.99771591145895</v>
      </c>
      <c r="AS111" s="155">
        <f>'Debt &amp; Equity'!AU13</f>
        <v>314.32490296158824</v>
      </c>
      <c r="AT111" s="155">
        <f>'Debt &amp; Equity'!AV13</f>
        <v>296.5637259469683</v>
      </c>
      <c r="AU111" s="155">
        <f>'Debt &amp; Equity'!AW13</f>
        <v>278.71374304727527</v>
      </c>
      <c r="AV111" s="155">
        <f>'Debt &amp; Equity'!AX13</f>
        <v>260.77451023308367</v>
      </c>
      <c r="AW111" s="155">
        <f>'Debt &amp; Equity'!AY13</f>
        <v>242.74558125482119</v>
      </c>
      <c r="AX111" s="155">
        <f>'Debt &amp; Equity'!AZ13</f>
        <v>224.62650763166741</v>
      </c>
      <c r="AY111" s="155">
        <f>'Debt &amp; Equity'!BA13</f>
        <v>206.4168386403978</v>
      </c>
      <c r="AZ111" s="155">
        <f>'Debt &amp; Equity'!BB13</f>
        <v>188.11612130417191</v>
      </c>
      <c r="BA111" s="155">
        <f>'Debt &amp; Equity'!BC13</f>
        <v>169.72390038126483</v>
      </c>
      <c r="BB111" s="155">
        <f>'Debt &amp; Equity'!BD13</f>
        <v>151.23971835374323</v>
      </c>
      <c r="BC111" s="155">
        <f>'Debt &amp; Equity'!BE13</f>
        <v>132.663115416084</v>
      </c>
      <c r="BD111" s="155">
        <f>'Debt &amp; Equity'!BF13</f>
        <v>113.99362946373653</v>
      </c>
      <c r="BE111" s="155">
        <f>'Debt &amp; Equity'!BG13</f>
        <v>95.23079608162729</v>
      </c>
      <c r="BF111" s="155">
        <f>'Debt &amp; Equity'!BH13</f>
        <v>76.374148532607492</v>
      </c>
      <c r="BG111" s="155">
        <f>'Debt &amp; Equity'!BI13</f>
        <v>57.423217745842621</v>
      </c>
      <c r="BH111" s="155">
        <f>'Debt &amp; Equity'!BJ13</f>
        <v>38.377532305143909</v>
      </c>
      <c r="BI111" s="155">
        <f>'Debt &amp; Equity'!BK13</f>
        <v>19.23661843724171</v>
      </c>
      <c r="BJ111" s="340"/>
      <c r="BK111" s="282">
        <f>SUM(B111:M111)</f>
        <v>11038.090221696331</v>
      </c>
      <c r="BL111" s="147">
        <f>SUM(N111:Y111)</f>
        <v>8857.1237244236545</v>
      </c>
      <c r="BM111" s="147">
        <f t="shared" ref="BM111" si="401">SUM(Z111:AK111)</f>
        <v>6541.6399858494178</v>
      </c>
      <c r="BN111" s="147">
        <f t="shared" ref="BN111" si="402">SUM(AL111:AW111)</f>
        <v>4083.3422768720889</v>
      </c>
      <c r="BO111" s="256">
        <f t="shared" ref="BO111" si="403">SUM(AX111:BI111)</f>
        <v>1473.4221442935286</v>
      </c>
      <c r="BP111" s="256"/>
      <c r="BQ111" s="397">
        <f t="shared" si="383"/>
        <v>2.8610690486326782E-2</v>
      </c>
      <c r="BR111" s="393">
        <f t="shared" si="384"/>
        <v>1.3291261270738557E-2</v>
      </c>
      <c r="BS111" s="393">
        <f t="shared" si="385"/>
        <v>6.9079623197008336E-3</v>
      </c>
      <c r="BT111" s="393">
        <f t="shared" si="386"/>
        <v>3.3264027085320729E-3</v>
      </c>
      <c r="BU111" s="144">
        <f t="shared" si="387"/>
        <v>1.0288201070724409E-3</v>
      </c>
    </row>
    <row r="112" spans="1:78">
      <c r="A112" s="129" t="s">
        <v>59</v>
      </c>
      <c r="B112" s="367">
        <f>B107-B111</f>
        <v>-41551.599186012769</v>
      </c>
      <c r="C112" s="367">
        <f t="shared" ref="C112:BI112" si="404">C107-C111</f>
        <v>-5315.4960741432824</v>
      </c>
      <c r="D112" s="367">
        <f t="shared" si="404"/>
        <v>-4976.8212982661535</v>
      </c>
      <c r="E112" s="367">
        <f t="shared" si="404"/>
        <v>-4638.0745000613406</v>
      </c>
      <c r="F112" s="367">
        <f t="shared" si="404"/>
        <v>-4299.2553194172015</v>
      </c>
      <c r="G112" s="367">
        <f t="shared" si="404"/>
        <v>-3960.3633944215426</v>
      </c>
      <c r="H112" s="367">
        <f t="shared" si="404"/>
        <v>-3621.3983613526107</v>
      </c>
      <c r="I112" s="367">
        <f t="shared" si="404"/>
        <v>-3282.3598546700232</v>
      </c>
      <c r="J112" s="367">
        <f t="shared" si="404"/>
        <v>-2943.2475070057362</v>
      </c>
      <c r="K112" s="367">
        <f t="shared" si="404"/>
        <v>-2604.0609491548157</v>
      </c>
      <c r="L112" s="367">
        <f t="shared" si="404"/>
        <v>-2264.7998100663481</v>
      </c>
      <c r="M112" s="367">
        <f t="shared" si="404"/>
        <v>-1925.4637168341415</v>
      </c>
      <c r="N112" s="367">
        <f t="shared" si="404"/>
        <v>-1586.0522946874671</v>
      </c>
      <c r="O112" s="367">
        <f t="shared" si="404"/>
        <v>-1246.5651669817612</v>
      </c>
      <c r="P112" s="367">
        <f t="shared" si="404"/>
        <v>-907.00195518922908</v>
      </c>
      <c r="Q112" s="367">
        <f t="shared" si="404"/>
        <v>-567.36227888943108</v>
      </c>
      <c r="R112" s="367">
        <f t="shared" si="404"/>
        <v>-227.64575575984145</v>
      </c>
      <c r="S112" s="367">
        <f t="shared" si="404"/>
        <v>112.14799843370304</v>
      </c>
      <c r="T112" s="367">
        <f t="shared" si="404"/>
        <v>452.01936984651138</v>
      </c>
      <c r="U112" s="367">
        <f t="shared" si="404"/>
        <v>791.96874656468731</v>
      </c>
      <c r="V112" s="367">
        <f t="shared" si="404"/>
        <v>1131.9965186147538</v>
      </c>
      <c r="W112" s="367">
        <f t="shared" si="404"/>
        <v>1472.1030779733701</v>
      </c>
      <c r="X112" s="367">
        <f t="shared" si="404"/>
        <v>1812.2888185770685</v>
      </c>
      <c r="Y112" s="367">
        <f t="shared" si="404"/>
        <v>2152.5541363320922</v>
      </c>
      <c r="Z112" s="367">
        <f t="shared" si="404"/>
        <v>2492.899429124187</v>
      </c>
      <c r="AA112" s="367">
        <f t="shared" si="404"/>
        <v>2833.325096828557</v>
      </c>
      <c r="AB112" s="367">
        <f t="shared" si="404"/>
        <v>3173.8315413197379</v>
      </c>
      <c r="AC112" s="367">
        <f t="shared" si="404"/>
        <v>3514.4191664816626</v>
      </c>
      <c r="AD112" s="367">
        <f t="shared" si="404"/>
        <v>3855.0883782177302</v>
      </c>
      <c r="AE112" s="367">
        <f t="shared" si="404"/>
        <v>4195.8395844607521</v>
      </c>
      <c r="AF112" s="367">
        <f t="shared" si="404"/>
        <v>4536.6731951832853</v>
      </c>
      <c r="AG112" s="367">
        <f t="shared" si="404"/>
        <v>4877.5896224077451</v>
      </c>
      <c r="AH112" s="367">
        <f t="shared" si="404"/>
        <v>5218.5892802166236</v>
      </c>
      <c r="AI112" s="367">
        <f t="shared" si="404"/>
        <v>5559.6725847628313</v>
      </c>
      <c r="AJ112" s="367">
        <f t="shared" si="404"/>
        <v>5900.839954280078</v>
      </c>
      <c r="AK112" s="367">
        <f t="shared" si="404"/>
        <v>6242.0918090932246</v>
      </c>
      <c r="AL112" s="367">
        <f t="shared" si="404"/>
        <v>6583.4285716287222</v>
      </c>
      <c r="AM112" s="367">
        <f t="shared" si="404"/>
        <v>6924.8506664252036</v>
      </c>
      <c r="AN112" s="367">
        <f t="shared" si="404"/>
        <v>7266.3585201439719</v>
      </c>
      <c r="AO112" s="367">
        <f t="shared" si="404"/>
        <v>7607.9525615796183</v>
      </c>
      <c r="AP112" s="367">
        <f t="shared" si="404"/>
        <v>7949.6332216707506</v>
      </c>
      <c r="AQ112" s="367">
        <f t="shared" si="404"/>
        <v>8291.4009335106457</v>
      </c>
      <c r="AR112" s="367">
        <f t="shared" si="404"/>
        <v>8633.2561323580394</v>
      </c>
      <c r="AS112" s="367">
        <f t="shared" si="404"/>
        <v>8975.1992556479545</v>
      </c>
      <c r="AT112" s="367">
        <f t="shared" si="404"/>
        <v>9317.2307430026358</v>
      </c>
      <c r="AU112" s="367">
        <f t="shared" si="404"/>
        <v>9659.3510362423731</v>
      </c>
      <c r="AV112" s="367">
        <f t="shared" si="404"/>
        <v>10001.560579396613</v>
      </c>
      <c r="AW112" s="367">
        <f t="shared" si="404"/>
        <v>10343.85981871494</v>
      </c>
      <c r="AX112" s="367">
        <f t="shared" si="404"/>
        <v>10524.114047508123</v>
      </c>
      <c r="AY112" s="367">
        <f t="shared" si="404"/>
        <v>10704.458871669416</v>
      </c>
      <c r="AZ112" s="367">
        <f t="shared" si="404"/>
        <v>10884.894744175659</v>
      </c>
      <c r="BA112" s="367">
        <f t="shared" si="404"/>
        <v>11065.422120268606</v>
      </c>
      <c r="BB112" s="367">
        <f t="shared" si="404"/>
        <v>11246.041457466144</v>
      </c>
      <c r="BC112" s="367">
        <f t="shared" si="404"/>
        <v>11426.753215573832</v>
      </c>
      <c r="BD112" s="367">
        <f t="shared" si="404"/>
        <v>11607.557856696199</v>
      </c>
      <c r="BE112" s="367">
        <f t="shared" si="404"/>
        <v>11788.45584524836</v>
      </c>
      <c r="BF112" s="367">
        <f t="shared" si="404"/>
        <v>11969.447647967403</v>
      </c>
      <c r="BG112" s="367">
        <f t="shared" si="404"/>
        <v>12150.533733924174</v>
      </c>
      <c r="BH112" s="367">
        <f t="shared" si="404"/>
        <v>12331.714574534913</v>
      </c>
      <c r="BI112" s="367">
        <f t="shared" si="404"/>
        <v>12512.990643572854</v>
      </c>
      <c r="BK112" s="284">
        <f>SUM(B112:M112)</f>
        <v>-81382.939971405969</v>
      </c>
      <c r="BL112" s="257">
        <f>SUM(N112:Y112)</f>
        <v>3390.4512148344556</v>
      </c>
      <c r="BM112" s="257">
        <f t="shared" ref="BM112" si="405">SUM(Z112:AK112)</f>
        <v>52400.859642376417</v>
      </c>
      <c r="BN112" s="257">
        <f t="shared" ref="BN112" si="406">SUM(AL112:AW112)</f>
        <v>101554.08204032146</v>
      </c>
      <c r="BO112" s="257">
        <f t="shared" ref="BO112" si="407">SUM(AX112:BI112)</f>
        <v>138212.38475860568</v>
      </c>
      <c r="BP112" s="256"/>
      <c r="BQ112" s="404">
        <f t="shared" si="383"/>
        <v>-0.21094429014654104</v>
      </c>
      <c r="BR112" s="398">
        <f t="shared" si="384"/>
        <v>5.0878111590328973E-3</v>
      </c>
      <c r="BS112" s="398">
        <f t="shared" si="385"/>
        <v>5.5335231641070758E-2</v>
      </c>
      <c r="BT112" s="398">
        <f t="shared" si="386"/>
        <v>8.272874294049673E-2</v>
      </c>
      <c r="BU112" s="398">
        <f t="shared" si="387"/>
        <v>9.6507087963080398E-2</v>
      </c>
    </row>
    <row r="113" spans="1:75">
      <c r="A113" s="71" t="s">
        <v>60</v>
      </c>
      <c r="B113" s="6">
        <f>IF(AND(B112&gt;=0,B112&lt;50000),0.15,IF(AND(B112&gt;=50000,B112&lt;75000),0.25,IF(AND(B112&gt;=75000,B112&lt;100000),0.34,IF(AND(B112&gt;=100000,B112&lt;335000),0.39,IF(AND(B112&gt;=335000,B112&lt;10000000),0.34,IF(AND(B112&gt;=10000000,B112&lt;15000000),0.35,IF(AND(B112&gt;=15000000,B112&lt;18333333),0.38,IF(B112&gt;=18333333,0.35,0))))))))*B112</f>
        <v>0</v>
      </c>
      <c r="C113" s="6">
        <f t="shared" ref="C113:BI113" si="408">IF(AND(C112&gt;=0,C112&lt;50000),0.15,IF(AND(C112&gt;=50000,C112&lt;75000),0.25,IF(AND(C112&gt;=75000,C112&lt;100000),0.34,IF(AND(C112&gt;=100000,C112&lt;335000),0.39,IF(AND(C112&gt;=335000,C112&lt;10000000),0.34,IF(AND(C112&gt;=10000000,C112&lt;15000000),0.35,IF(AND(C112&gt;=15000000,C112&lt;18333333),0.38,IF(C112&gt;=18333333,0.35,0))))))))*C112</f>
        <v>0</v>
      </c>
      <c r="D113" s="6">
        <f t="shared" si="408"/>
        <v>0</v>
      </c>
      <c r="E113" s="6">
        <f t="shared" si="408"/>
        <v>0</v>
      </c>
      <c r="F113" s="6">
        <f t="shared" si="408"/>
        <v>0</v>
      </c>
      <c r="G113" s="6">
        <f t="shared" si="408"/>
        <v>0</v>
      </c>
      <c r="H113" s="6">
        <f t="shared" si="408"/>
        <v>0</v>
      </c>
      <c r="I113" s="6">
        <f t="shared" si="408"/>
        <v>0</v>
      </c>
      <c r="J113" s="6">
        <f t="shared" si="408"/>
        <v>0</v>
      </c>
      <c r="K113" s="6">
        <f t="shared" si="408"/>
        <v>0</v>
      </c>
      <c r="L113" s="6">
        <f t="shared" si="408"/>
        <v>0</v>
      </c>
      <c r="M113" s="6">
        <f t="shared" si="408"/>
        <v>0</v>
      </c>
      <c r="N113" s="6">
        <f t="shared" si="408"/>
        <v>0</v>
      </c>
      <c r="O113" s="6">
        <f t="shared" si="408"/>
        <v>0</v>
      </c>
      <c r="P113" s="6">
        <f t="shared" si="408"/>
        <v>0</v>
      </c>
      <c r="Q113" s="6">
        <f t="shared" si="408"/>
        <v>0</v>
      </c>
      <c r="R113" s="6">
        <f t="shared" si="408"/>
        <v>0</v>
      </c>
      <c r="S113" s="6">
        <f t="shared" si="408"/>
        <v>16.822199765055455</v>
      </c>
      <c r="T113" s="6">
        <f t="shared" si="408"/>
        <v>67.802905476976704</v>
      </c>
      <c r="U113" s="6">
        <f t="shared" si="408"/>
        <v>118.79531198470309</v>
      </c>
      <c r="V113" s="6">
        <f t="shared" si="408"/>
        <v>169.79947779221305</v>
      </c>
      <c r="W113" s="6">
        <f t="shared" si="408"/>
        <v>220.81546169600551</v>
      </c>
      <c r="X113" s="6">
        <f t="shared" si="408"/>
        <v>271.84332278656024</v>
      </c>
      <c r="Y113" s="6">
        <f t="shared" si="408"/>
        <v>322.88312044981382</v>
      </c>
      <c r="Z113" s="6">
        <f t="shared" si="408"/>
        <v>373.93491436862803</v>
      </c>
      <c r="AA113" s="6">
        <f t="shared" si="408"/>
        <v>424.99876452428356</v>
      </c>
      <c r="AB113" s="6">
        <f t="shared" si="408"/>
        <v>476.07473119796066</v>
      </c>
      <c r="AC113" s="6">
        <f t="shared" si="408"/>
        <v>527.16287497224937</v>
      </c>
      <c r="AD113" s="6">
        <f t="shared" si="408"/>
        <v>578.26325673265956</v>
      </c>
      <c r="AE113" s="6">
        <f t="shared" si="408"/>
        <v>629.37593766911277</v>
      </c>
      <c r="AF113" s="6">
        <f t="shared" si="408"/>
        <v>680.50097927749277</v>
      </c>
      <c r="AG113" s="6">
        <f t="shared" si="408"/>
        <v>731.63844336116176</v>
      </c>
      <c r="AH113" s="6">
        <f t="shared" si="408"/>
        <v>782.78839203249356</v>
      </c>
      <c r="AI113" s="6">
        <f t="shared" si="408"/>
        <v>833.95088771442465</v>
      </c>
      <c r="AJ113" s="6">
        <f t="shared" si="408"/>
        <v>885.12599314201168</v>
      </c>
      <c r="AK113" s="6">
        <f t="shared" si="408"/>
        <v>936.31377136398362</v>
      </c>
      <c r="AL113" s="6">
        <f t="shared" si="408"/>
        <v>987.51428574430827</v>
      </c>
      <c r="AM113" s="6">
        <f t="shared" si="408"/>
        <v>1038.7275999637804</v>
      </c>
      <c r="AN113" s="6">
        <f t="shared" si="408"/>
        <v>1089.9537780215958</v>
      </c>
      <c r="AO113" s="6">
        <f t="shared" si="408"/>
        <v>1141.1928842369427</v>
      </c>
      <c r="AP113" s="6">
        <f t="shared" si="408"/>
        <v>1192.4449832506125</v>
      </c>
      <c r="AQ113" s="6">
        <f t="shared" si="408"/>
        <v>1243.7101400265967</v>
      </c>
      <c r="AR113" s="6">
        <f t="shared" si="408"/>
        <v>1294.9884198537059</v>
      </c>
      <c r="AS113" s="6">
        <f t="shared" si="408"/>
        <v>1346.279888347193</v>
      </c>
      <c r="AT113" s="6">
        <f t="shared" si="408"/>
        <v>1397.5846114503954</v>
      </c>
      <c r="AU113" s="6">
        <f t="shared" si="408"/>
        <v>1448.9026554363559</v>
      </c>
      <c r="AV113" s="6">
        <f t="shared" si="408"/>
        <v>1500.2340869094919</v>
      </c>
      <c r="AW113" s="6">
        <f t="shared" si="408"/>
        <v>1551.5789728072409</v>
      </c>
      <c r="AX113" s="6">
        <f t="shared" si="408"/>
        <v>1578.6171071262183</v>
      </c>
      <c r="AY113" s="6">
        <f t="shared" si="408"/>
        <v>1605.6688307504123</v>
      </c>
      <c r="AZ113" s="6">
        <f t="shared" si="408"/>
        <v>1632.7342116263487</v>
      </c>
      <c r="BA113" s="6">
        <f t="shared" si="408"/>
        <v>1659.8133180402908</v>
      </c>
      <c r="BB113" s="6">
        <f t="shared" si="408"/>
        <v>1686.9062186199217</v>
      </c>
      <c r="BC113" s="6">
        <f t="shared" si="408"/>
        <v>1714.0129823360746</v>
      </c>
      <c r="BD113" s="6">
        <f t="shared" si="408"/>
        <v>1741.1336785044298</v>
      </c>
      <c r="BE113" s="6">
        <f t="shared" si="408"/>
        <v>1768.2683767872538</v>
      </c>
      <c r="BF113" s="6">
        <f t="shared" si="408"/>
        <v>1795.4171471951104</v>
      </c>
      <c r="BG113" s="6">
        <f t="shared" si="408"/>
        <v>1822.5800600886262</v>
      </c>
      <c r="BH113" s="6">
        <f t="shared" si="408"/>
        <v>1849.7571861802369</v>
      </c>
      <c r="BI113" s="6">
        <f t="shared" si="408"/>
        <v>1876.9485965359279</v>
      </c>
      <c r="BK113" s="284">
        <f>SUM(B113:M113)</f>
        <v>0</v>
      </c>
      <c r="BL113" s="257">
        <f>SUM(N113:Y113)</f>
        <v>1188.7617999513279</v>
      </c>
      <c r="BM113" s="257">
        <f t="shared" ref="BM113" si="409">SUM(Z113:AK113)</f>
        <v>7860.1289463564617</v>
      </c>
      <c r="BN113" s="257">
        <f t="shared" ref="BN113" si="410">SUM(AL113:AW113)</f>
        <v>15233.112306048217</v>
      </c>
      <c r="BO113" s="257">
        <f t="shared" ref="BO113" si="411">SUM(AX113:BI113)</f>
        <v>20731.857713790847</v>
      </c>
      <c r="BP113" s="256"/>
      <c r="BQ113" s="397"/>
      <c r="BR113" s="393"/>
      <c r="BS113" s="393"/>
      <c r="BT113" s="393"/>
      <c r="BU113" s="144"/>
    </row>
    <row r="114" spans="1:75" ht="15.75" thickBot="1">
      <c r="A114" s="129" t="s">
        <v>61</v>
      </c>
      <c r="B114" s="366">
        <f>B112-B113</f>
        <v>-41551.599186012769</v>
      </c>
      <c r="C114" s="366">
        <f t="shared" ref="C114:BI114" si="412">C112-C113</f>
        <v>-5315.4960741432824</v>
      </c>
      <c r="D114" s="366">
        <f t="shared" si="412"/>
        <v>-4976.8212982661535</v>
      </c>
      <c r="E114" s="366">
        <f t="shared" si="412"/>
        <v>-4638.0745000613406</v>
      </c>
      <c r="F114" s="366">
        <f t="shared" si="412"/>
        <v>-4299.2553194172015</v>
      </c>
      <c r="G114" s="366">
        <f t="shared" si="412"/>
        <v>-3960.3633944215426</v>
      </c>
      <c r="H114" s="366">
        <f t="shared" si="412"/>
        <v>-3621.3983613526107</v>
      </c>
      <c r="I114" s="366">
        <f t="shared" si="412"/>
        <v>-3282.3598546700232</v>
      </c>
      <c r="J114" s="366">
        <f t="shared" si="412"/>
        <v>-2943.2475070057362</v>
      </c>
      <c r="K114" s="366">
        <f t="shared" si="412"/>
        <v>-2604.0609491548157</v>
      </c>
      <c r="L114" s="366">
        <f t="shared" si="412"/>
        <v>-2264.7998100663481</v>
      </c>
      <c r="M114" s="366">
        <f t="shared" si="412"/>
        <v>-1925.4637168341415</v>
      </c>
      <c r="N114" s="366">
        <f t="shared" si="412"/>
        <v>-1586.0522946874671</v>
      </c>
      <c r="O114" s="366">
        <f t="shared" si="412"/>
        <v>-1246.5651669817612</v>
      </c>
      <c r="P114" s="366">
        <f t="shared" si="412"/>
        <v>-907.00195518922908</v>
      </c>
      <c r="Q114" s="366">
        <f t="shared" si="412"/>
        <v>-567.36227888943108</v>
      </c>
      <c r="R114" s="366">
        <f t="shared" si="412"/>
        <v>-227.64575575984145</v>
      </c>
      <c r="S114" s="366">
        <f t="shared" si="412"/>
        <v>95.325798668647579</v>
      </c>
      <c r="T114" s="366">
        <f t="shared" si="412"/>
        <v>384.21646436953466</v>
      </c>
      <c r="U114" s="366">
        <f t="shared" si="412"/>
        <v>673.17343457998425</v>
      </c>
      <c r="V114" s="366">
        <f t="shared" si="412"/>
        <v>962.19704082254066</v>
      </c>
      <c r="W114" s="366">
        <f t="shared" si="412"/>
        <v>1251.2876162773646</v>
      </c>
      <c r="X114" s="366">
        <f t="shared" si="412"/>
        <v>1540.4454957905082</v>
      </c>
      <c r="Y114" s="366">
        <f t="shared" si="412"/>
        <v>1829.6710158822784</v>
      </c>
      <c r="Z114" s="366">
        <f t="shared" si="412"/>
        <v>2118.9645147555589</v>
      </c>
      <c r="AA114" s="366">
        <f t="shared" si="412"/>
        <v>2408.3263323042734</v>
      </c>
      <c r="AB114" s="366">
        <f t="shared" si="412"/>
        <v>2697.7568101217771</v>
      </c>
      <c r="AC114" s="366">
        <f t="shared" si="412"/>
        <v>2987.2562915094131</v>
      </c>
      <c r="AD114" s="366">
        <f t="shared" si="412"/>
        <v>3276.8251214850707</v>
      </c>
      <c r="AE114" s="366">
        <f t="shared" si="412"/>
        <v>3566.4636467916393</v>
      </c>
      <c r="AF114" s="366">
        <f t="shared" si="412"/>
        <v>3856.1722159057927</v>
      </c>
      <c r="AG114" s="366">
        <f t="shared" si="412"/>
        <v>4145.9511790465831</v>
      </c>
      <c r="AH114" s="366">
        <f t="shared" si="412"/>
        <v>4435.8008881841297</v>
      </c>
      <c r="AI114" s="366">
        <f t="shared" si="412"/>
        <v>4725.7216970484069</v>
      </c>
      <c r="AJ114" s="366">
        <f t="shared" si="412"/>
        <v>5015.7139611380662</v>
      </c>
      <c r="AK114" s="366">
        <f t="shared" si="412"/>
        <v>5305.7780377292411</v>
      </c>
      <c r="AL114" s="366">
        <f t="shared" si="412"/>
        <v>5595.9142858844143</v>
      </c>
      <c r="AM114" s="366">
        <f t="shared" si="412"/>
        <v>5886.1230664614232</v>
      </c>
      <c r="AN114" s="366">
        <f t="shared" si="412"/>
        <v>6176.4047421223759</v>
      </c>
      <c r="AO114" s="366">
        <f t="shared" si="412"/>
        <v>6466.7596773426758</v>
      </c>
      <c r="AP114" s="366">
        <f t="shared" si="412"/>
        <v>6757.1882384201381</v>
      </c>
      <c r="AQ114" s="366">
        <f t="shared" si="412"/>
        <v>7047.6907934840492</v>
      </c>
      <c r="AR114" s="366">
        <f t="shared" si="412"/>
        <v>7338.2677125043338</v>
      </c>
      <c r="AS114" s="366">
        <f t="shared" si="412"/>
        <v>7628.9193673007612</v>
      </c>
      <c r="AT114" s="366">
        <f t="shared" si="412"/>
        <v>7919.6461315522401</v>
      </c>
      <c r="AU114" s="366">
        <f t="shared" si="412"/>
        <v>8210.4483808060177</v>
      </c>
      <c r="AV114" s="366">
        <f t="shared" si="412"/>
        <v>8501.3264924871219</v>
      </c>
      <c r="AW114" s="366">
        <f t="shared" si="412"/>
        <v>8792.2808459076987</v>
      </c>
      <c r="AX114" s="366">
        <f t="shared" si="412"/>
        <v>8945.496940381905</v>
      </c>
      <c r="AY114" s="366">
        <f t="shared" si="412"/>
        <v>9098.7900409190042</v>
      </c>
      <c r="AZ114" s="366">
        <f t="shared" si="412"/>
        <v>9252.160532549311</v>
      </c>
      <c r="BA114" s="366">
        <f t="shared" si="412"/>
        <v>9405.6088022283147</v>
      </c>
      <c r="BB114" s="366">
        <f t="shared" si="412"/>
        <v>9559.1352388462219</v>
      </c>
      <c r="BC114" s="366">
        <f t="shared" si="412"/>
        <v>9712.7402332377569</v>
      </c>
      <c r="BD114" s="366">
        <f t="shared" si="412"/>
        <v>9866.4241781917699</v>
      </c>
      <c r="BE114" s="366">
        <f t="shared" si="412"/>
        <v>10020.187468461107</v>
      </c>
      <c r="BF114" s="366">
        <f t="shared" si="412"/>
        <v>10174.030500772293</v>
      </c>
      <c r="BG114" s="366">
        <f t="shared" si="412"/>
        <v>10327.953673835547</v>
      </c>
      <c r="BH114" s="366">
        <f t="shared" si="412"/>
        <v>10481.957388354676</v>
      </c>
      <c r="BI114" s="366">
        <f t="shared" si="412"/>
        <v>10636.042047036926</v>
      </c>
      <c r="BJ114" s="157"/>
      <c r="BK114" s="364">
        <f>SUM(B114:M114)</f>
        <v>-81382.939971405969</v>
      </c>
      <c r="BL114" s="365">
        <f>SUM(N114:Y114)</f>
        <v>2201.6894148831279</v>
      </c>
      <c r="BM114" s="365">
        <f t="shared" ref="BM114" si="413">SUM(Z114:AK114)</f>
        <v>44540.730696019957</v>
      </c>
      <c r="BN114" s="365">
        <f t="shared" ref="BN114" si="414">SUM(AL114:AW114)</f>
        <v>86320.96973427324</v>
      </c>
      <c r="BO114" s="365">
        <f t="shared" ref="BO114" si="415">SUM(AX114:BI114)</f>
        <v>117480.52704481484</v>
      </c>
      <c r="BP114" s="256"/>
      <c r="BQ114" s="405">
        <f t="shared" si="383"/>
        <v>-0.21094429014654104</v>
      </c>
      <c r="BR114" s="406">
        <f t="shared" si="384"/>
        <v>3.3039201168136951E-3</v>
      </c>
      <c r="BS114" s="406">
        <f t="shared" si="385"/>
        <v>4.7034946894910147E-2</v>
      </c>
      <c r="BT114" s="406">
        <f t="shared" si="386"/>
        <v>7.0319431499422214E-2</v>
      </c>
      <c r="BU114" s="406">
        <f t="shared" si="387"/>
        <v>8.2031024768618344E-2</v>
      </c>
    </row>
    <row r="115" spans="1:75" ht="15.75" thickTop="1">
      <c r="A115" s="160"/>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57"/>
      <c r="BH115" s="157"/>
      <c r="BI115" s="157"/>
      <c r="BJ115" s="157"/>
      <c r="BK115" s="282"/>
      <c r="BL115" s="147"/>
      <c r="BM115" s="147"/>
      <c r="BN115" s="147"/>
      <c r="BO115" s="256"/>
      <c r="BP115" s="256"/>
      <c r="BQ115" s="397"/>
      <c r="BR115" s="393"/>
      <c r="BS115" s="393"/>
      <c r="BT115" s="393"/>
      <c r="BU115" s="144"/>
    </row>
    <row r="116" spans="1:75">
      <c r="A116" s="71" t="s">
        <v>62</v>
      </c>
      <c r="BK116" s="282">
        <f>SUM(B111:M111)</f>
        <v>11038.090221696331</v>
      </c>
      <c r="BL116" s="147"/>
      <c r="BM116" s="147"/>
      <c r="BN116" s="147"/>
      <c r="BO116" s="256"/>
      <c r="BP116" s="256"/>
      <c r="BQ116" s="397"/>
      <c r="BR116" s="393"/>
      <c r="BS116" s="393"/>
      <c r="BT116" s="393"/>
      <c r="BU116" s="144"/>
    </row>
    <row r="117" spans="1:75">
      <c r="A117" s="71" t="s">
        <v>63</v>
      </c>
      <c r="BK117" s="282"/>
      <c r="BL117" s="147"/>
      <c r="BM117" s="147"/>
      <c r="BN117" s="147"/>
      <c r="BO117" s="256"/>
      <c r="BP117" s="256"/>
      <c r="BQ117" s="397"/>
      <c r="BR117" s="393"/>
      <c r="BS117" s="393"/>
      <c r="BT117" s="393"/>
      <c r="BU117" s="144"/>
      <c r="BV117" s="363">
        <v>0.65</v>
      </c>
      <c r="BW117" s="117" t="s">
        <v>173</v>
      </c>
    </row>
    <row r="118" spans="1:75">
      <c r="A118" s="71"/>
      <c r="BK118" s="164"/>
      <c r="BL118" s="164"/>
      <c r="BM118" s="164"/>
      <c r="BN118" s="164"/>
      <c r="BO118" s="164"/>
      <c r="BP118" s="164"/>
      <c r="BQ118" s="401"/>
      <c r="BR118" s="401"/>
      <c r="BS118" s="401"/>
      <c r="BT118" s="401"/>
      <c r="BU118" s="401"/>
      <c r="BV118" s="136"/>
      <c r="BW118" s="136"/>
    </row>
    <row r="119" spans="1:75">
      <c r="BK119" s="165"/>
      <c r="BL119" s="165"/>
      <c r="BM119" s="165"/>
      <c r="BN119" s="165"/>
      <c r="BO119" s="165"/>
      <c r="BP119" s="165"/>
      <c r="BQ119" s="407"/>
      <c r="BR119" s="407"/>
      <c r="BS119" s="407"/>
      <c r="BT119" s="407"/>
      <c r="BU119" s="407"/>
      <c r="BV119" s="136"/>
      <c r="BW119" s="136"/>
    </row>
    <row r="120" spans="1:75">
      <c r="BK120" s="162"/>
      <c r="BL120" s="162"/>
      <c r="BM120" s="162"/>
      <c r="BN120" s="162"/>
      <c r="BO120" s="162"/>
      <c r="BP120" s="162"/>
      <c r="BQ120" s="394"/>
      <c r="BR120" s="394"/>
      <c r="BS120" s="394"/>
      <c r="BT120" s="394"/>
      <c r="BU120" s="394"/>
      <c r="BV120" s="136"/>
      <c r="BW120" s="136"/>
    </row>
    <row r="121" spans="1:75">
      <c r="BK121" s="162"/>
      <c r="BL121" s="162"/>
      <c r="BM121" s="162"/>
      <c r="BN121" s="162"/>
      <c r="BO121" s="162"/>
      <c r="BP121" s="162"/>
      <c r="BQ121" s="394"/>
      <c r="BR121" s="394"/>
      <c r="BS121" s="394"/>
      <c r="BT121" s="394"/>
      <c r="BU121" s="394"/>
      <c r="BV121" s="136"/>
      <c r="BW121" s="136"/>
    </row>
    <row r="122" spans="1:75">
      <c r="A122" s="1"/>
      <c r="B122" s="156"/>
      <c r="BK122" s="162"/>
      <c r="BL122" s="162"/>
      <c r="BM122" s="162"/>
      <c r="BN122" s="162"/>
      <c r="BO122" s="162"/>
      <c r="BP122" s="162"/>
      <c r="BQ122" s="394"/>
      <c r="BR122" s="394"/>
      <c r="BS122" s="394"/>
      <c r="BT122" s="394"/>
      <c r="BU122" s="394"/>
      <c r="BV122" s="136"/>
      <c r="BW122" s="136"/>
    </row>
    <row r="123" spans="1:75">
      <c r="A123" s="1" t="s">
        <v>175</v>
      </c>
      <c r="B123" s="157">
        <f t="shared" ref="B123:M123" si="416">B99+B83+B48</f>
        <v>576.63225749427875</v>
      </c>
      <c r="C123" s="157">
        <f t="shared" si="416"/>
        <v>628.24844756951609</v>
      </c>
      <c r="D123" s="157">
        <f t="shared" si="416"/>
        <v>679.86463764475366</v>
      </c>
      <c r="E123" s="157">
        <f t="shared" si="416"/>
        <v>731.48082771999111</v>
      </c>
      <c r="F123" s="157">
        <f t="shared" si="416"/>
        <v>783.09701779522845</v>
      </c>
      <c r="G123" s="157">
        <f t="shared" si="416"/>
        <v>834.71320787046602</v>
      </c>
      <c r="H123" s="157">
        <f t="shared" si="416"/>
        <v>886.32939794570348</v>
      </c>
      <c r="I123" s="157">
        <f t="shared" si="416"/>
        <v>937.94558802094082</v>
      </c>
      <c r="J123" s="157">
        <f t="shared" si="416"/>
        <v>989.56177809617839</v>
      </c>
      <c r="K123" s="157">
        <f t="shared" si="416"/>
        <v>1041.1779681714156</v>
      </c>
      <c r="L123" s="157">
        <f t="shared" si="416"/>
        <v>1092.7941582466533</v>
      </c>
      <c r="M123" s="157">
        <f t="shared" si="416"/>
        <v>1144.4103483218908</v>
      </c>
      <c r="N123" s="157">
        <f t="shared" ref="N123:AN123" si="417">N99+N83+N48</f>
        <v>1196.0265383971282</v>
      </c>
      <c r="O123" s="157">
        <f t="shared" si="417"/>
        <v>1247.6427284723654</v>
      </c>
      <c r="P123" s="157">
        <f t="shared" si="417"/>
        <v>1299.2589185476031</v>
      </c>
      <c r="Q123" s="157">
        <f t="shared" si="417"/>
        <v>1350.8751086228408</v>
      </c>
      <c r="R123" s="157">
        <f t="shared" si="417"/>
        <v>1402.491298698078</v>
      </c>
      <c r="S123" s="157">
        <f t="shared" si="417"/>
        <v>1454.1074887733155</v>
      </c>
      <c r="T123" s="157">
        <f t="shared" si="417"/>
        <v>1505.7236788485529</v>
      </c>
      <c r="U123" s="157">
        <f t="shared" si="417"/>
        <v>1557.3398689237902</v>
      </c>
      <c r="V123" s="157">
        <f t="shared" si="417"/>
        <v>1608.9560589990278</v>
      </c>
      <c r="W123" s="157">
        <f t="shared" si="417"/>
        <v>1660.5722490742653</v>
      </c>
      <c r="X123" s="157">
        <f t="shared" si="417"/>
        <v>1712.1884391495028</v>
      </c>
      <c r="Y123" s="157">
        <f t="shared" si="417"/>
        <v>1763.8046292247402</v>
      </c>
      <c r="Z123" s="157">
        <f t="shared" si="417"/>
        <v>1815.4208192999777</v>
      </c>
      <c r="AA123" s="157">
        <f t="shared" si="417"/>
        <v>1867.0370093752149</v>
      </c>
      <c r="AB123" s="157">
        <f t="shared" si="417"/>
        <v>1918.6531994504526</v>
      </c>
      <c r="AC123" s="157">
        <f t="shared" si="417"/>
        <v>1970.26938952569</v>
      </c>
      <c r="AD123" s="157">
        <f t="shared" si="417"/>
        <v>2021.8855796009275</v>
      </c>
      <c r="AE123" s="157">
        <f t="shared" si="417"/>
        <v>2073.5017696761647</v>
      </c>
      <c r="AF123" s="157">
        <f t="shared" si="417"/>
        <v>2125.1179597514024</v>
      </c>
      <c r="AG123" s="157">
        <f t="shared" si="417"/>
        <v>2176.7341498266396</v>
      </c>
      <c r="AH123" s="157">
        <f t="shared" si="417"/>
        <v>2228.3503399018773</v>
      </c>
      <c r="AI123" s="157">
        <f t="shared" si="417"/>
        <v>2279.966529977115</v>
      </c>
      <c r="AJ123" s="157">
        <f t="shared" si="417"/>
        <v>2331.5827200523522</v>
      </c>
      <c r="AK123" s="157">
        <f t="shared" si="417"/>
        <v>2383.1989101275899</v>
      </c>
      <c r="AL123" s="157">
        <f t="shared" si="417"/>
        <v>2434.8151002028271</v>
      </c>
      <c r="AM123" s="157">
        <f t="shared" si="417"/>
        <v>2486.4312902780644</v>
      </c>
      <c r="AN123" s="157">
        <f t="shared" si="417"/>
        <v>2538.0474803533016</v>
      </c>
      <c r="AO123" s="157">
        <f t="shared" ref="AO123:BI123" si="418">AO99+AO83+AO48</f>
        <v>2589.6636704285393</v>
      </c>
      <c r="AP123" s="157">
        <f t="shared" si="418"/>
        <v>2641.2798605037769</v>
      </c>
      <c r="AQ123" s="157">
        <f t="shared" si="418"/>
        <v>2692.8960505790146</v>
      </c>
      <c r="AR123" s="157">
        <f t="shared" si="418"/>
        <v>2744.5122406542514</v>
      </c>
      <c r="AS123" s="157">
        <f t="shared" si="418"/>
        <v>2796.1284307294895</v>
      </c>
      <c r="AT123" s="157">
        <f t="shared" si="418"/>
        <v>2847.7446208047263</v>
      </c>
      <c r="AU123" s="157">
        <f t="shared" si="418"/>
        <v>2899.3608108799644</v>
      </c>
      <c r="AV123" s="157">
        <f t="shared" si="418"/>
        <v>2950.9770009552017</v>
      </c>
      <c r="AW123" s="157">
        <f t="shared" si="418"/>
        <v>3002.5931910304394</v>
      </c>
      <c r="AX123" s="157">
        <f t="shared" si="418"/>
        <v>3028.4012860680577</v>
      </c>
      <c r="AY123" s="157">
        <f t="shared" si="418"/>
        <v>3054.2093811056766</v>
      </c>
      <c r="AZ123" s="157">
        <f t="shared" si="418"/>
        <v>3080.0174761432954</v>
      </c>
      <c r="BA123" s="157">
        <f t="shared" si="418"/>
        <v>3105.8255711809138</v>
      </c>
      <c r="BB123" s="157">
        <f t="shared" si="418"/>
        <v>3131.6336662185327</v>
      </c>
      <c r="BC123" s="157">
        <f t="shared" si="418"/>
        <v>3157.4417612561515</v>
      </c>
      <c r="BD123" s="157">
        <f t="shared" si="418"/>
        <v>3183.2498562937708</v>
      </c>
      <c r="BE123" s="157">
        <f t="shared" si="418"/>
        <v>3209.0579513313887</v>
      </c>
      <c r="BF123" s="157">
        <f t="shared" si="418"/>
        <v>3234.8660463690076</v>
      </c>
      <c r="BG123" s="157">
        <f t="shared" si="418"/>
        <v>3260.6741414066264</v>
      </c>
      <c r="BH123" s="157">
        <f t="shared" si="418"/>
        <v>3286.4822364442452</v>
      </c>
      <c r="BI123" s="157">
        <f t="shared" si="418"/>
        <v>3312.2903314818641</v>
      </c>
      <c r="BJ123" s="157"/>
      <c r="BK123" s="162"/>
      <c r="BL123" s="162"/>
      <c r="BM123" s="162"/>
      <c r="BN123" s="162"/>
      <c r="BO123" s="162"/>
      <c r="BP123" s="162"/>
      <c r="BQ123" s="394"/>
      <c r="BR123" s="394"/>
      <c r="BS123" s="394"/>
      <c r="BT123" s="394"/>
      <c r="BU123" s="394"/>
      <c r="BV123" s="136"/>
      <c r="BW123" s="136"/>
    </row>
    <row r="124" spans="1:75">
      <c r="A124" s="1"/>
      <c r="B124" s="156"/>
      <c r="BK124" s="162"/>
      <c r="BL124" s="162"/>
      <c r="BM124" s="162"/>
      <c r="BN124" s="162"/>
      <c r="BO124" s="162"/>
      <c r="BP124" s="162"/>
      <c r="BQ124" s="394"/>
      <c r="BR124" s="394"/>
      <c r="BS124" s="394"/>
      <c r="BT124" s="394"/>
      <c r="BU124" s="394"/>
      <c r="BV124" s="136"/>
      <c r="BW124" s="136"/>
    </row>
    <row r="125" spans="1:75">
      <c r="A125" s="1"/>
      <c r="B125" s="158"/>
      <c r="BK125" s="162"/>
      <c r="BL125" s="162"/>
      <c r="BM125" s="162"/>
      <c r="BN125" s="162"/>
      <c r="BO125" s="162"/>
      <c r="BP125" s="162"/>
      <c r="BQ125" s="394"/>
      <c r="BR125" s="394"/>
      <c r="BS125" s="394"/>
      <c r="BT125" s="394"/>
      <c r="BU125" s="394"/>
      <c r="BV125" s="136"/>
      <c r="BW125" s="136"/>
    </row>
    <row r="126" spans="1:75">
      <c r="B126" s="117"/>
      <c r="BK126" s="162"/>
      <c r="BL126" s="162"/>
      <c r="BM126" s="162"/>
      <c r="BN126" s="162"/>
      <c r="BO126" s="162"/>
      <c r="BP126" s="162"/>
      <c r="BQ126" s="394"/>
      <c r="BR126" s="394"/>
      <c r="BS126" s="394"/>
      <c r="BT126" s="394"/>
      <c r="BU126" s="394"/>
      <c r="BV126" s="136"/>
      <c r="BW126" s="136"/>
    </row>
    <row r="127" spans="1:75">
      <c r="B127" s="159"/>
      <c r="BK127" s="162"/>
      <c r="BL127" s="162"/>
      <c r="BM127" s="162"/>
      <c r="BN127" s="162"/>
      <c r="BO127" s="162"/>
      <c r="BP127" s="162"/>
      <c r="BQ127" s="394"/>
      <c r="BR127" s="394"/>
      <c r="BS127" s="394"/>
      <c r="BT127" s="394"/>
      <c r="BU127" s="394"/>
      <c r="BV127" s="161">
        <v>4.33</v>
      </c>
      <c r="BW127" s="117" t="s">
        <v>77</v>
      </c>
    </row>
    <row r="128" spans="1:75">
      <c r="BK128" s="162"/>
      <c r="BL128" s="162"/>
      <c r="BM128" s="162"/>
      <c r="BN128" s="162"/>
      <c r="BO128" s="162"/>
      <c r="BP128" s="162"/>
      <c r="BQ128" s="394"/>
      <c r="BR128" s="394"/>
      <c r="BS128" s="394"/>
      <c r="BT128" s="394"/>
      <c r="BU128" s="394"/>
      <c r="BV128" s="136"/>
      <c r="BW128" s="136"/>
    </row>
    <row r="129" spans="1:75">
      <c r="BK129" s="162"/>
      <c r="BL129" s="162"/>
      <c r="BM129" s="162"/>
      <c r="BN129" s="162"/>
      <c r="BO129" s="162"/>
      <c r="BP129" s="162"/>
      <c r="BQ129" s="394"/>
      <c r="BR129" s="394"/>
      <c r="BS129" s="394"/>
      <c r="BT129" s="394"/>
      <c r="BU129" s="394"/>
      <c r="BV129" s="136"/>
      <c r="BW129" s="136"/>
    </row>
    <row r="130" spans="1:75">
      <c r="A130" s="26" t="s">
        <v>55</v>
      </c>
      <c r="B130" s="268">
        <f t="shared" ref="B130:M130" si="419">+B57/B36</f>
        <v>0.30410634590469054</v>
      </c>
      <c r="C130" s="268">
        <f t="shared" si="419"/>
        <v>0.3041063459046906</v>
      </c>
      <c r="D130" s="268">
        <f t="shared" si="419"/>
        <v>0.30410634590469066</v>
      </c>
      <c r="E130" s="268">
        <f t="shared" si="419"/>
        <v>0.3041063459046906</v>
      </c>
      <c r="F130" s="268">
        <f t="shared" si="419"/>
        <v>0.30410634590469066</v>
      </c>
      <c r="G130" s="268">
        <f t="shared" si="419"/>
        <v>0.30410634590469077</v>
      </c>
      <c r="H130" s="268">
        <f t="shared" si="419"/>
        <v>0.3041063459046906</v>
      </c>
      <c r="I130" s="268">
        <f t="shared" si="419"/>
        <v>0.30410634590469066</v>
      </c>
      <c r="J130" s="268">
        <f t="shared" si="419"/>
        <v>0.30410634590469049</v>
      </c>
      <c r="K130" s="268">
        <f t="shared" si="419"/>
        <v>0.30410634590469071</v>
      </c>
      <c r="L130" s="268">
        <f t="shared" si="419"/>
        <v>0.30410634590469066</v>
      </c>
      <c r="M130" s="268">
        <f t="shared" si="419"/>
        <v>0.30410634590469054</v>
      </c>
      <c r="N130" s="268">
        <f t="shared" ref="N130:AN130" si="420">+N57/N36</f>
        <v>0.3041063459046906</v>
      </c>
      <c r="O130" s="268">
        <f t="shared" si="420"/>
        <v>0.3041063459046906</v>
      </c>
      <c r="P130" s="268">
        <f t="shared" si="420"/>
        <v>0.3041063459046906</v>
      </c>
      <c r="Q130" s="268">
        <f t="shared" si="420"/>
        <v>0.30410634590469066</v>
      </c>
      <c r="R130" s="268">
        <f t="shared" si="420"/>
        <v>0.3041063459046906</v>
      </c>
      <c r="S130" s="268">
        <f t="shared" si="420"/>
        <v>0.3041063459046906</v>
      </c>
      <c r="T130" s="268">
        <f t="shared" si="420"/>
        <v>0.30410634590469066</v>
      </c>
      <c r="U130" s="268">
        <f t="shared" si="420"/>
        <v>0.30410634590469066</v>
      </c>
      <c r="V130" s="268">
        <f t="shared" si="420"/>
        <v>0.30410634590469071</v>
      </c>
      <c r="W130" s="268">
        <f t="shared" si="420"/>
        <v>0.30410634590469077</v>
      </c>
      <c r="X130" s="268">
        <f t="shared" si="420"/>
        <v>0.3041063459046906</v>
      </c>
      <c r="Y130" s="268">
        <f t="shared" si="420"/>
        <v>0.3041063459046906</v>
      </c>
      <c r="Z130" s="268">
        <f t="shared" si="420"/>
        <v>0.30410634590469049</v>
      </c>
      <c r="AA130" s="268">
        <f t="shared" si="420"/>
        <v>0.30410634590469066</v>
      </c>
      <c r="AB130" s="268">
        <f t="shared" si="420"/>
        <v>0.30410634590469066</v>
      </c>
      <c r="AC130" s="268">
        <f t="shared" si="420"/>
        <v>0.30410634590469049</v>
      </c>
      <c r="AD130" s="268">
        <f t="shared" si="420"/>
        <v>0.30410634590469071</v>
      </c>
      <c r="AE130" s="268">
        <f t="shared" si="420"/>
        <v>0.30410634590469071</v>
      </c>
      <c r="AF130" s="268">
        <f t="shared" si="420"/>
        <v>0.3041063459046906</v>
      </c>
      <c r="AG130" s="268">
        <f t="shared" si="420"/>
        <v>0.30410634590469066</v>
      </c>
      <c r="AH130" s="268">
        <f t="shared" si="420"/>
        <v>0.30410634590469066</v>
      </c>
      <c r="AI130" s="268">
        <f t="shared" si="420"/>
        <v>0.30410634590469054</v>
      </c>
      <c r="AJ130" s="268">
        <f t="shared" si="420"/>
        <v>0.30410634590469054</v>
      </c>
      <c r="AK130" s="268">
        <f t="shared" si="420"/>
        <v>0.3041063459046906</v>
      </c>
      <c r="AL130" s="268">
        <f t="shared" si="420"/>
        <v>0.3041063459046906</v>
      </c>
      <c r="AM130" s="268">
        <f t="shared" si="420"/>
        <v>0.3041063459046906</v>
      </c>
      <c r="AN130" s="268">
        <f t="shared" si="420"/>
        <v>0.30410634590469071</v>
      </c>
      <c r="AO130" s="268">
        <f t="shared" ref="AO130:BI130" si="421">+AO57/AO36</f>
        <v>0.3041063459046906</v>
      </c>
      <c r="AP130" s="268">
        <f t="shared" si="421"/>
        <v>0.3041063459046906</v>
      </c>
      <c r="AQ130" s="268">
        <f t="shared" si="421"/>
        <v>0.30410634590469066</v>
      </c>
      <c r="AR130" s="268">
        <f t="shared" si="421"/>
        <v>0.30410634590469071</v>
      </c>
      <c r="AS130" s="268">
        <f t="shared" si="421"/>
        <v>0.3041063459046906</v>
      </c>
      <c r="AT130" s="268">
        <f t="shared" si="421"/>
        <v>0.30410634590469066</v>
      </c>
      <c r="AU130" s="268">
        <f t="shared" si="421"/>
        <v>0.3041063459046906</v>
      </c>
      <c r="AV130" s="268">
        <f t="shared" si="421"/>
        <v>0.30410634590469054</v>
      </c>
      <c r="AW130" s="268">
        <f t="shared" si="421"/>
        <v>0.30410634590469066</v>
      </c>
      <c r="AX130" s="268">
        <f t="shared" si="421"/>
        <v>0.30410634590469066</v>
      </c>
      <c r="AY130" s="268">
        <f t="shared" si="421"/>
        <v>0.30410634590469066</v>
      </c>
      <c r="AZ130" s="268">
        <f t="shared" si="421"/>
        <v>0.30410634590469054</v>
      </c>
      <c r="BA130" s="268">
        <f t="shared" si="421"/>
        <v>0.30410634590469066</v>
      </c>
      <c r="BB130" s="268">
        <f t="shared" si="421"/>
        <v>0.3041063459046906</v>
      </c>
      <c r="BC130" s="268">
        <f t="shared" si="421"/>
        <v>0.30410634590469054</v>
      </c>
      <c r="BD130" s="268">
        <f t="shared" si="421"/>
        <v>0.30410634590469054</v>
      </c>
      <c r="BE130" s="268">
        <f t="shared" si="421"/>
        <v>0.30410634590469071</v>
      </c>
      <c r="BF130" s="268">
        <f t="shared" si="421"/>
        <v>0.30410634590469071</v>
      </c>
      <c r="BG130" s="268">
        <f t="shared" si="421"/>
        <v>0.30410634590469054</v>
      </c>
      <c r="BH130" s="268">
        <f t="shared" si="421"/>
        <v>0.30410634590469066</v>
      </c>
      <c r="BI130" s="268">
        <f t="shared" si="421"/>
        <v>0.30410634590469077</v>
      </c>
      <c r="BJ130" s="268"/>
      <c r="BK130" s="146"/>
      <c r="BL130" s="146"/>
      <c r="BM130" s="146"/>
      <c r="BN130" s="146"/>
      <c r="BO130" s="146"/>
      <c r="BP130" s="146"/>
      <c r="BQ130" s="144"/>
      <c r="BR130" s="144"/>
      <c r="BS130" s="144"/>
      <c r="BT130" s="144"/>
      <c r="BU130" s="144"/>
    </row>
    <row r="131" spans="1:75">
      <c r="A131" s="26" t="s">
        <v>194</v>
      </c>
      <c r="B131" s="268">
        <f t="shared" ref="B131:M131" si="422">+B53/B43</f>
        <v>0.30273608080922515</v>
      </c>
      <c r="C131" s="268">
        <f t="shared" si="422"/>
        <v>0.30273608080922515</v>
      </c>
      <c r="D131" s="268">
        <f t="shared" si="422"/>
        <v>0.30273608080922521</v>
      </c>
      <c r="E131" s="268">
        <f t="shared" si="422"/>
        <v>0.30273608080922521</v>
      </c>
      <c r="F131" s="268">
        <f t="shared" si="422"/>
        <v>0.30273608080922515</v>
      </c>
      <c r="G131" s="268">
        <f t="shared" si="422"/>
        <v>0.30273608080922526</v>
      </c>
      <c r="H131" s="268">
        <f t="shared" si="422"/>
        <v>0.30273608080922521</v>
      </c>
      <c r="I131" s="268">
        <f t="shared" si="422"/>
        <v>0.30273608080922526</v>
      </c>
      <c r="J131" s="268">
        <f t="shared" si="422"/>
        <v>0.30273608080922521</v>
      </c>
      <c r="K131" s="268">
        <f t="shared" si="422"/>
        <v>0.30273608080922521</v>
      </c>
      <c r="L131" s="268">
        <f t="shared" si="422"/>
        <v>0.30273608080922521</v>
      </c>
      <c r="M131" s="268">
        <f t="shared" si="422"/>
        <v>0.30273608080922515</v>
      </c>
      <c r="N131" s="268">
        <f t="shared" ref="N131:AN131" si="423">+N53/N43</f>
        <v>0.30273608080922521</v>
      </c>
      <c r="O131" s="268">
        <f t="shared" si="423"/>
        <v>0.30273608080922515</v>
      </c>
      <c r="P131" s="268">
        <f t="shared" si="423"/>
        <v>0.30273608080922515</v>
      </c>
      <c r="Q131" s="268">
        <f t="shared" si="423"/>
        <v>0.30273608080922521</v>
      </c>
      <c r="R131" s="268">
        <f t="shared" si="423"/>
        <v>0.30273608080922521</v>
      </c>
      <c r="S131" s="268">
        <f t="shared" si="423"/>
        <v>0.30273608080922521</v>
      </c>
      <c r="T131" s="268">
        <f t="shared" si="423"/>
        <v>0.30273608080922526</v>
      </c>
      <c r="U131" s="268">
        <f t="shared" si="423"/>
        <v>0.30273608080922515</v>
      </c>
      <c r="V131" s="268">
        <f t="shared" si="423"/>
        <v>0.30273608080922521</v>
      </c>
      <c r="W131" s="268">
        <f t="shared" si="423"/>
        <v>0.30273608080922526</v>
      </c>
      <c r="X131" s="268">
        <f t="shared" si="423"/>
        <v>0.30273608080922515</v>
      </c>
      <c r="Y131" s="268">
        <f t="shared" si="423"/>
        <v>0.30273608080922521</v>
      </c>
      <c r="Z131" s="268">
        <f t="shared" si="423"/>
        <v>0.30273608080922521</v>
      </c>
      <c r="AA131" s="268">
        <f t="shared" si="423"/>
        <v>0.30273608080922526</v>
      </c>
      <c r="AB131" s="268">
        <f t="shared" si="423"/>
        <v>0.30273608080922526</v>
      </c>
      <c r="AC131" s="268">
        <f t="shared" si="423"/>
        <v>0.30273608080922521</v>
      </c>
      <c r="AD131" s="268">
        <f t="shared" si="423"/>
        <v>0.30273608080922521</v>
      </c>
      <c r="AE131" s="268">
        <f t="shared" si="423"/>
        <v>0.30273608080922521</v>
      </c>
      <c r="AF131" s="268">
        <f t="shared" si="423"/>
        <v>0.30273608080922509</v>
      </c>
      <c r="AG131" s="268">
        <f t="shared" si="423"/>
        <v>0.30273608080922521</v>
      </c>
      <c r="AH131" s="268">
        <f t="shared" si="423"/>
        <v>0.30273608080922521</v>
      </c>
      <c r="AI131" s="268">
        <f t="shared" si="423"/>
        <v>0.30273608080922515</v>
      </c>
      <c r="AJ131" s="268">
        <f t="shared" si="423"/>
        <v>0.30273608080922515</v>
      </c>
      <c r="AK131" s="268">
        <f t="shared" si="423"/>
        <v>0.30273608080922521</v>
      </c>
      <c r="AL131" s="268">
        <f t="shared" si="423"/>
        <v>0.30273608080922521</v>
      </c>
      <c r="AM131" s="268">
        <f t="shared" si="423"/>
        <v>0.30273608080922515</v>
      </c>
      <c r="AN131" s="268">
        <f t="shared" si="423"/>
        <v>0.30273608080922521</v>
      </c>
      <c r="AO131" s="268">
        <f t="shared" ref="AO131:BI131" si="424">+AO53/AO43</f>
        <v>0.30273608080922515</v>
      </c>
      <c r="AP131" s="268">
        <f t="shared" si="424"/>
        <v>0.30273608080922515</v>
      </c>
      <c r="AQ131" s="268">
        <f t="shared" si="424"/>
        <v>0.30273608080922521</v>
      </c>
      <c r="AR131" s="268">
        <f t="shared" si="424"/>
        <v>0.30273608080922526</v>
      </c>
      <c r="AS131" s="268">
        <f t="shared" si="424"/>
        <v>0.30273608080922521</v>
      </c>
      <c r="AT131" s="268">
        <f t="shared" si="424"/>
        <v>0.30273608080922526</v>
      </c>
      <c r="AU131" s="268">
        <f t="shared" si="424"/>
        <v>0.30273608080922521</v>
      </c>
      <c r="AV131" s="268">
        <f t="shared" si="424"/>
        <v>0.30273608080922521</v>
      </c>
      <c r="AW131" s="268">
        <f t="shared" si="424"/>
        <v>0.30273608080922526</v>
      </c>
      <c r="AX131" s="268">
        <f t="shared" si="424"/>
        <v>0.30273608080922515</v>
      </c>
      <c r="AY131" s="268">
        <f t="shared" si="424"/>
        <v>0.30273608080922521</v>
      </c>
      <c r="AZ131" s="268">
        <f t="shared" si="424"/>
        <v>0.30273608080922509</v>
      </c>
      <c r="BA131" s="268">
        <f t="shared" si="424"/>
        <v>0.30273608080922515</v>
      </c>
      <c r="BB131" s="268">
        <f t="shared" si="424"/>
        <v>0.30273608080922521</v>
      </c>
      <c r="BC131" s="268">
        <f t="shared" si="424"/>
        <v>0.30273608080922515</v>
      </c>
      <c r="BD131" s="268">
        <f t="shared" si="424"/>
        <v>0.30273608080922521</v>
      </c>
      <c r="BE131" s="268">
        <f t="shared" si="424"/>
        <v>0.30273608080922521</v>
      </c>
      <c r="BF131" s="268">
        <f t="shared" si="424"/>
        <v>0.30273608080922515</v>
      </c>
      <c r="BG131" s="268">
        <f t="shared" si="424"/>
        <v>0.30273608080922515</v>
      </c>
      <c r="BH131" s="268">
        <f t="shared" si="424"/>
        <v>0.30273608080922521</v>
      </c>
      <c r="BI131" s="268">
        <f t="shared" si="424"/>
        <v>0.30273608080922526</v>
      </c>
      <c r="BJ131" s="268"/>
      <c r="BK131" s="146"/>
      <c r="BL131" s="146"/>
      <c r="BM131" s="146"/>
      <c r="BN131" s="146"/>
      <c r="BO131" s="146"/>
      <c r="BP131" s="146"/>
      <c r="BQ131" s="144"/>
      <c r="BR131" s="144"/>
      <c r="BS131" s="144"/>
      <c r="BT131" s="144"/>
      <c r="BU131" s="144"/>
    </row>
    <row r="132" spans="1:75">
      <c r="BK132" s="162"/>
      <c r="BL132" s="162"/>
      <c r="BM132" s="162"/>
      <c r="BN132" s="162"/>
      <c r="BO132" s="162"/>
      <c r="BP132" s="162"/>
      <c r="BQ132" s="394"/>
      <c r="BR132" s="394"/>
      <c r="BS132" s="394"/>
      <c r="BT132" s="394"/>
      <c r="BU132" s="394"/>
      <c r="BV132" s="136"/>
      <c r="BW132" s="136"/>
    </row>
    <row r="133" spans="1:75">
      <c r="BK133" s="162"/>
      <c r="BL133" s="162"/>
      <c r="BM133" s="162"/>
      <c r="BN133" s="162"/>
      <c r="BO133" s="162"/>
      <c r="BP133" s="162"/>
      <c r="BQ133" s="394"/>
      <c r="BR133" s="394"/>
      <c r="BS133" s="394"/>
      <c r="BT133" s="394"/>
      <c r="BU133" s="394"/>
      <c r="BV133" s="136"/>
      <c r="BW133" s="136"/>
    </row>
    <row r="134" spans="1:75">
      <c r="BK134" s="162"/>
      <c r="BL134" s="162"/>
      <c r="BM134" s="162"/>
      <c r="BN134" s="162"/>
      <c r="BO134" s="162"/>
      <c r="BP134" s="162"/>
      <c r="BQ134" s="394"/>
      <c r="BR134" s="394"/>
      <c r="BS134" s="394"/>
      <c r="BT134" s="394"/>
      <c r="BU134" s="394"/>
      <c r="BV134" s="136"/>
      <c r="BW134" s="136"/>
    </row>
    <row r="135" spans="1:75">
      <c r="BK135" s="162"/>
      <c r="BL135" s="162"/>
      <c r="BM135" s="162"/>
      <c r="BN135" s="162"/>
      <c r="BO135" s="162"/>
      <c r="BP135" s="162"/>
      <c r="BQ135" s="394"/>
      <c r="BR135" s="394"/>
      <c r="BS135" s="394"/>
      <c r="BT135" s="394"/>
      <c r="BU135" s="394"/>
      <c r="BV135" s="136"/>
      <c r="BW135" s="136"/>
    </row>
    <row r="136" spans="1:75">
      <c r="B136" s="125" t="str">
        <f>B3</f>
        <v>Month 1</v>
      </c>
      <c r="C136" s="125" t="str">
        <f t="shared" ref="C136:BI136" si="425">C3</f>
        <v>Month 2</v>
      </c>
      <c r="D136" s="125" t="str">
        <f t="shared" si="425"/>
        <v>Month 3</v>
      </c>
      <c r="E136" s="125" t="str">
        <f t="shared" si="425"/>
        <v>Month 4</v>
      </c>
      <c r="F136" s="125" t="str">
        <f t="shared" si="425"/>
        <v>Month 5</v>
      </c>
      <c r="G136" s="125" t="str">
        <f t="shared" si="425"/>
        <v>Month 6</v>
      </c>
      <c r="H136" s="125" t="str">
        <f t="shared" si="425"/>
        <v>Month 7</v>
      </c>
      <c r="I136" s="125" t="str">
        <f t="shared" si="425"/>
        <v>Month 8</v>
      </c>
      <c r="J136" s="125" t="str">
        <f t="shared" si="425"/>
        <v>Month 9</v>
      </c>
      <c r="K136" s="125" t="str">
        <f t="shared" si="425"/>
        <v>Month 10</v>
      </c>
      <c r="L136" s="125" t="str">
        <f t="shared" si="425"/>
        <v>Month 11</v>
      </c>
      <c r="M136" s="125" t="str">
        <f t="shared" si="425"/>
        <v>Month 12</v>
      </c>
      <c r="N136" s="125" t="str">
        <f t="shared" si="425"/>
        <v>Month 13</v>
      </c>
      <c r="O136" s="125" t="str">
        <f t="shared" si="425"/>
        <v>Month 14</v>
      </c>
      <c r="P136" s="125" t="str">
        <f t="shared" si="425"/>
        <v>Month 15</v>
      </c>
      <c r="Q136" s="125" t="str">
        <f t="shared" si="425"/>
        <v>Month 16</v>
      </c>
      <c r="R136" s="125" t="str">
        <f t="shared" si="425"/>
        <v>Month 17</v>
      </c>
      <c r="S136" s="125" t="str">
        <f t="shared" si="425"/>
        <v>Month 18</v>
      </c>
      <c r="T136" s="125" t="str">
        <f t="shared" si="425"/>
        <v>Month 19</v>
      </c>
      <c r="U136" s="125" t="str">
        <f t="shared" si="425"/>
        <v>Month 20</v>
      </c>
      <c r="V136" s="125" t="str">
        <f t="shared" si="425"/>
        <v>Month 21</v>
      </c>
      <c r="W136" s="125" t="str">
        <f t="shared" si="425"/>
        <v>Month 22</v>
      </c>
      <c r="X136" s="125" t="str">
        <f t="shared" si="425"/>
        <v>Month 23</v>
      </c>
      <c r="Y136" s="125" t="str">
        <f t="shared" si="425"/>
        <v>Month 24</v>
      </c>
      <c r="Z136" s="125" t="str">
        <f t="shared" si="425"/>
        <v>Month 25</v>
      </c>
      <c r="AA136" s="125" t="str">
        <f t="shared" si="425"/>
        <v>Month 26</v>
      </c>
      <c r="AB136" s="125" t="str">
        <f t="shared" si="425"/>
        <v>Month 27</v>
      </c>
      <c r="AC136" s="125" t="str">
        <f t="shared" si="425"/>
        <v>Month 28</v>
      </c>
      <c r="AD136" s="125" t="str">
        <f t="shared" si="425"/>
        <v>Month 29</v>
      </c>
      <c r="AE136" s="125" t="str">
        <f t="shared" si="425"/>
        <v>Month 30</v>
      </c>
      <c r="AF136" s="125" t="str">
        <f t="shared" si="425"/>
        <v>Month 31</v>
      </c>
      <c r="AG136" s="125" t="str">
        <f t="shared" si="425"/>
        <v>Month 32</v>
      </c>
      <c r="AH136" s="125" t="str">
        <f t="shared" si="425"/>
        <v>Month 33</v>
      </c>
      <c r="AI136" s="125" t="str">
        <f t="shared" si="425"/>
        <v>Month 34</v>
      </c>
      <c r="AJ136" s="125" t="str">
        <f t="shared" si="425"/>
        <v>Month 35</v>
      </c>
      <c r="AK136" s="125" t="str">
        <f t="shared" si="425"/>
        <v>Month 36</v>
      </c>
      <c r="AL136" s="125" t="str">
        <f t="shared" si="425"/>
        <v>Month 37</v>
      </c>
      <c r="AM136" s="125" t="str">
        <f t="shared" si="425"/>
        <v>Month 38</v>
      </c>
      <c r="AN136" s="125" t="str">
        <f t="shared" si="425"/>
        <v>Month 39</v>
      </c>
      <c r="AO136" s="125" t="str">
        <f t="shared" si="425"/>
        <v>Month 40</v>
      </c>
      <c r="AP136" s="125" t="str">
        <f t="shared" si="425"/>
        <v>Month 41</v>
      </c>
      <c r="AQ136" s="125" t="str">
        <f t="shared" si="425"/>
        <v>Month 42</v>
      </c>
      <c r="AR136" s="125" t="str">
        <f t="shared" si="425"/>
        <v>Month 43</v>
      </c>
      <c r="AS136" s="125" t="str">
        <f t="shared" si="425"/>
        <v>Month 44</v>
      </c>
      <c r="AT136" s="125" t="str">
        <f t="shared" si="425"/>
        <v>Month 45</v>
      </c>
      <c r="AU136" s="125" t="str">
        <f t="shared" si="425"/>
        <v>Month 46</v>
      </c>
      <c r="AV136" s="125" t="str">
        <f t="shared" si="425"/>
        <v>Month 47</v>
      </c>
      <c r="AW136" s="125" t="str">
        <f t="shared" si="425"/>
        <v>Month 48</v>
      </c>
      <c r="AX136" s="125" t="str">
        <f t="shared" si="425"/>
        <v>Month 49</v>
      </c>
      <c r="AY136" s="125" t="str">
        <f t="shared" si="425"/>
        <v>Month 50</v>
      </c>
      <c r="AZ136" s="125" t="str">
        <f t="shared" si="425"/>
        <v>Month 51</v>
      </c>
      <c r="BA136" s="125" t="str">
        <f t="shared" si="425"/>
        <v>Month 52</v>
      </c>
      <c r="BB136" s="125" t="str">
        <f t="shared" si="425"/>
        <v>Month 53</v>
      </c>
      <c r="BC136" s="125" t="str">
        <f t="shared" si="425"/>
        <v>Month 54</v>
      </c>
      <c r="BD136" s="125" t="str">
        <f t="shared" si="425"/>
        <v>Month 55</v>
      </c>
      <c r="BE136" s="125" t="str">
        <f t="shared" si="425"/>
        <v>Month 56</v>
      </c>
      <c r="BF136" s="125" t="str">
        <f t="shared" si="425"/>
        <v>Month 57</v>
      </c>
      <c r="BG136" s="125" t="str">
        <f t="shared" si="425"/>
        <v>Month 58</v>
      </c>
      <c r="BH136" s="125" t="str">
        <f t="shared" si="425"/>
        <v>Month 59</v>
      </c>
      <c r="BI136" s="125" t="str">
        <f t="shared" si="425"/>
        <v>Month 60</v>
      </c>
      <c r="BK136" s="162"/>
      <c r="BL136" s="162"/>
      <c r="BM136" s="162"/>
      <c r="BN136" s="162"/>
      <c r="BO136" s="162"/>
      <c r="BP136" s="162"/>
      <c r="BQ136" s="394"/>
      <c r="BR136" s="394"/>
      <c r="BS136" s="394"/>
      <c r="BT136" s="394"/>
      <c r="BU136" s="394"/>
      <c r="BV136" s="136"/>
      <c r="BW136" s="136"/>
    </row>
    <row r="137" spans="1:75">
      <c r="A137" s="208" t="s">
        <v>36</v>
      </c>
      <c r="B137" s="357">
        <f>B36</f>
        <v>21433.5</v>
      </c>
      <c r="C137" s="357">
        <f t="shared" ref="C137:BI137" si="426">C36</f>
        <v>23382</v>
      </c>
      <c r="D137" s="357">
        <f t="shared" si="426"/>
        <v>25330.5</v>
      </c>
      <c r="E137" s="357">
        <f t="shared" si="426"/>
        <v>27279</v>
      </c>
      <c r="F137" s="357">
        <f t="shared" si="426"/>
        <v>29227.5</v>
      </c>
      <c r="G137" s="357">
        <f t="shared" si="426"/>
        <v>31176</v>
      </c>
      <c r="H137" s="357">
        <f t="shared" si="426"/>
        <v>33124.5</v>
      </c>
      <c r="I137" s="357">
        <f t="shared" si="426"/>
        <v>35073</v>
      </c>
      <c r="J137" s="357">
        <f t="shared" si="426"/>
        <v>37021.5</v>
      </c>
      <c r="K137" s="357">
        <f t="shared" si="426"/>
        <v>38970</v>
      </c>
      <c r="L137" s="357">
        <f t="shared" si="426"/>
        <v>40918.5</v>
      </c>
      <c r="M137" s="357">
        <f t="shared" si="426"/>
        <v>42867</v>
      </c>
      <c r="N137" s="357">
        <f t="shared" si="426"/>
        <v>44815.5</v>
      </c>
      <c r="O137" s="357">
        <f t="shared" si="426"/>
        <v>46764</v>
      </c>
      <c r="P137" s="357">
        <f t="shared" si="426"/>
        <v>48712.5</v>
      </c>
      <c r="Q137" s="357">
        <f t="shared" si="426"/>
        <v>50661</v>
      </c>
      <c r="R137" s="357">
        <f t="shared" si="426"/>
        <v>52609.5</v>
      </c>
      <c r="S137" s="357">
        <f t="shared" si="426"/>
        <v>54558</v>
      </c>
      <c r="T137" s="357">
        <f t="shared" si="426"/>
        <v>56506.5</v>
      </c>
      <c r="U137" s="357">
        <f t="shared" si="426"/>
        <v>58455</v>
      </c>
      <c r="V137" s="357">
        <f t="shared" si="426"/>
        <v>60403.5</v>
      </c>
      <c r="W137" s="357">
        <f t="shared" si="426"/>
        <v>62352</v>
      </c>
      <c r="X137" s="357">
        <f t="shared" si="426"/>
        <v>64300.5</v>
      </c>
      <c r="Y137" s="357">
        <f t="shared" si="426"/>
        <v>66249</v>
      </c>
      <c r="Z137" s="357">
        <f t="shared" si="426"/>
        <v>68197.5</v>
      </c>
      <c r="AA137" s="357">
        <f t="shared" si="426"/>
        <v>70146</v>
      </c>
      <c r="AB137" s="357">
        <f t="shared" si="426"/>
        <v>72094.5</v>
      </c>
      <c r="AC137" s="357">
        <f t="shared" si="426"/>
        <v>74043</v>
      </c>
      <c r="AD137" s="357">
        <f t="shared" si="426"/>
        <v>75991.5</v>
      </c>
      <c r="AE137" s="357">
        <f t="shared" si="426"/>
        <v>77940</v>
      </c>
      <c r="AF137" s="357">
        <f t="shared" si="426"/>
        <v>79888.5</v>
      </c>
      <c r="AG137" s="357">
        <f t="shared" si="426"/>
        <v>81837</v>
      </c>
      <c r="AH137" s="357">
        <f t="shared" si="426"/>
        <v>83785.5</v>
      </c>
      <c r="AI137" s="357">
        <f t="shared" si="426"/>
        <v>85734</v>
      </c>
      <c r="AJ137" s="357">
        <f t="shared" si="426"/>
        <v>87682.5</v>
      </c>
      <c r="AK137" s="357">
        <f t="shared" si="426"/>
        <v>89631</v>
      </c>
      <c r="AL137" s="357">
        <f t="shared" si="426"/>
        <v>91579.5</v>
      </c>
      <c r="AM137" s="357">
        <f t="shared" si="426"/>
        <v>93528</v>
      </c>
      <c r="AN137" s="357">
        <f t="shared" si="426"/>
        <v>95476.5</v>
      </c>
      <c r="AO137" s="357">
        <f t="shared" si="426"/>
        <v>97425</v>
      </c>
      <c r="AP137" s="357">
        <f t="shared" si="426"/>
        <v>99373.5</v>
      </c>
      <c r="AQ137" s="357">
        <f t="shared" si="426"/>
        <v>101322</v>
      </c>
      <c r="AR137" s="357">
        <f t="shared" si="426"/>
        <v>103270.5</v>
      </c>
      <c r="AS137" s="357">
        <f t="shared" si="426"/>
        <v>105219</v>
      </c>
      <c r="AT137" s="357">
        <f t="shared" si="426"/>
        <v>107167.5</v>
      </c>
      <c r="AU137" s="357">
        <f t="shared" si="426"/>
        <v>109116</v>
      </c>
      <c r="AV137" s="357">
        <f t="shared" si="426"/>
        <v>111064.5</v>
      </c>
      <c r="AW137" s="357">
        <f t="shared" si="426"/>
        <v>113013</v>
      </c>
      <c r="AX137" s="357">
        <f t="shared" si="426"/>
        <v>113987.25</v>
      </c>
      <c r="AY137" s="357">
        <f t="shared" si="426"/>
        <v>114961.5</v>
      </c>
      <c r="AZ137" s="357">
        <f t="shared" si="426"/>
        <v>115935.75</v>
      </c>
      <c r="BA137" s="357">
        <f t="shared" si="426"/>
        <v>116910</v>
      </c>
      <c r="BB137" s="357">
        <f t="shared" si="426"/>
        <v>117884.25</v>
      </c>
      <c r="BC137" s="357">
        <f t="shared" si="426"/>
        <v>118858.5</v>
      </c>
      <c r="BD137" s="357">
        <f t="shared" si="426"/>
        <v>119832.75</v>
      </c>
      <c r="BE137" s="357">
        <f t="shared" si="426"/>
        <v>120807</v>
      </c>
      <c r="BF137" s="357">
        <f t="shared" si="426"/>
        <v>121781.25</v>
      </c>
      <c r="BG137" s="357">
        <f t="shared" si="426"/>
        <v>122755.5</v>
      </c>
      <c r="BH137" s="357">
        <f t="shared" si="426"/>
        <v>123729.75</v>
      </c>
      <c r="BI137" s="357">
        <f t="shared" si="426"/>
        <v>124704</v>
      </c>
      <c r="BK137" s="162"/>
      <c r="BL137" s="162"/>
      <c r="BM137" s="162"/>
      <c r="BN137" s="162"/>
      <c r="BO137" s="162"/>
      <c r="BP137" s="162"/>
      <c r="BQ137" s="394"/>
      <c r="BR137" s="394"/>
      <c r="BS137" s="394"/>
      <c r="BT137" s="394"/>
      <c r="BU137" s="394"/>
      <c r="BV137" s="136"/>
      <c r="BW137" s="136"/>
    </row>
    <row r="138" spans="1:75">
      <c r="A138" s="209" t="s">
        <v>469</v>
      </c>
      <c r="B138" s="357">
        <f>B105+B55+B111</f>
        <v>62985.099186012769</v>
      </c>
      <c r="C138" s="357">
        <f t="shared" ref="C138:BI138" si="427">C105+C55+C111</f>
        <v>28697.496074143284</v>
      </c>
      <c r="D138" s="357">
        <f t="shared" si="427"/>
        <v>30307.321298266153</v>
      </c>
      <c r="E138" s="357">
        <f t="shared" si="427"/>
        <v>31917.074500061339</v>
      </c>
      <c r="F138" s="357">
        <f t="shared" si="427"/>
        <v>33526.7553194172</v>
      </c>
      <c r="G138" s="357">
        <f t="shared" si="427"/>
        <v>35136.36339442154</v>
      </c>
      <c r="H138" s="357">
        <f t="shared" si="427"/>
        <v>36745.898361352607</v>
      </c>
      <c r="I138" s="357">
        <f t="shared" si="427"/>
        <v>38355.35985467003</v>
      </c>
      <c r="J138" s="357">
        <f t="shared" si="427"/>
        <v>39964.747507005741</v>
      </c>
      <c r="K138" s="357">
        <f t="shared" si="427"/>
        <v>41574.060949154817</v>
      </c>
      <c r="L138" s="357">
        <f t="shared" si="427"/>
        <v>43183.299810066339</v>
      </c>
      <c r="M138" s="357">
        <f t="shared" si="427"/>
        <v>44792.463716834143</v>
      </c>
      <c r="N138" s="357">
        <f t="shared" si="427"/>
        <v>46401.55229468747</v>
      </c>
      <c r="O138" s="357">
        <f t="shared" si="427"/>
        <v>48010.56516698176</v>
      </c>
      <c r="P138" s="357">
        <f t="shared" si="427"/>
        <v>49619.501955189226</v>
      </c>
      <c r="Q138" s="357">
        <f t="shared" si="427"/>
        <v>51228.362278889428</v>
      </c>
      <c r="R138" s="357">
        <f t="shared" si="427"/>
        <v>52837.145755759848</v>
      </c>
      <c r="S138" s="357">
        <f t="shared" si="427"/>
        <v>54445.852001566302</v>
      </c>
      <c r="T138" s="357">
        <f t="shared" si="427"/>
        <v>56054.480630153492</v>
      </c>
      <c r="U138" s="357">
        <f t="shared" si="427"/>
        <v>57663.031253435314</v>
      </c>
      <c r="V138" s="357">
        <f t="shared" si="427"/>
        <v>59271.503481385247</v>
      </c>
      <c r="W138" s="357">
        <f t="shared" si="427"/>
        <v>60879.89692202663</v>
      </c>
      <c r="X138" s="357">
        <f t="shared" si="427"/>
        <v>62488.211181422936</v>
      </c>
      <c r="Y138" s="357">
        <f t="shared" si="427"/>
        <v>64096.445863667905</v>
      </c>
      <c r="Z138" s="357">
        <f t="shared" si="427"/>
        <v>65704.600570875817</v>
      </c>
      <c r="AA138" s="357">
        <f t="shared" si="427"/>
        <v>67312.674903171443</v>
      </c>
      <c r="AB138" s="357">
        <f t="shared" si="427"/>
        <v>68920.668458680258</v>
      </c>
      <c r="AC138" s="357">
        <f t="shared" si="427"/>
        <v>70528.580833518339</v>
      </c>
      <c r="AD138" s="357">
        <f t="shared" si="427"/>
        <v>72136.411621782274</v>
      </c>
      <c r="AE138" s="357">
        <f t="shared" si="427"/>
        <v>73744.160415539256</v>
      </c>
      <c r="AF138" s="357">
        <f t="shared" si="427"/>
        <v>75351.826804816708</v>
      </c>
      <c r="AG138" s="357">
        <f t="shared" si="427"/>
        <v>76959.410377592256</v>
      </c>
      <c r="AH138" s="357">
        <f t="shared" si="427"/>
        <v>78566.91071978338</v>
      </c>
      <c r="AI138" s="357">
        <f t="shared" si="427"/>
        <v>80174.327415237174</v>
      </c>
      <c r="AJ138" s="357">
        <f t="shared" si="427"/>
        <v>81781.660045719924</v>
      </c>
      <c r="AK138" s="357">
        <f t="shared" si="427"/>
        <v>83388.908190906775</v>
      </c>
      <c r="AL138" s="357">
        <f t="shared" si="427"/>
        <v>84996.071428371288</v>
      </c>
      <c r="AM138" s="357">
        <f t="shared" si="427"/>
        <v>86603.149333574795</v>
      </c>
      <c r="AN138" s="357">
        <f t="shared" si="427"/>
        <v>88210.141479856044</v>
      </c>
      <c r="AO138" s="357">
        <f t="shared" si="427"/>
        <v>89817.047438420384</v>
      </c>
      <c r="AP138" s="357">
        <f t="shared" si="427"/>
        <v>91423.866778329248</v>
      </c>
      <c r="AQ138" s="357">
        <f t="shared" si="427"/>
        <v>93030.599066489362</v>
      </c>
      <c r="AR138" s="357">
        <f t="shared" si="427"/>
        <v>94637.24386764197</v>
      </c>
      <c r="AS138" s="357">
        <f t="shared" si="427"/>
        <v>96243.800744352047</v>
      </c>
      <c r="AT138" s="357">
        <f t="shared" si="427"/>
        <v>97850.269256997359</v>
      </c>
      <c r="AU138" s="357">
        <f t="shared" si="427"/>
        <v>99456.648963757631</v>
      </c>
      <c r="AV138" s="357">
        <f t="shared" si="427"/>
        <v>101062.93942060339</v>
      </c>
      <c r="AW138" s="357">
        <f t="shared" si="427"/>
        <v>102669.14018128505</v>
      </c>
      <c r="AX138" s="357">
        <f t="shared" si="427"/>
        <v>103463.13595249188</v>
      </c>
      <c r="AY138" s="357">
        <f t="shared" si="427"/>
        <v>104257.04112833057</v>
      </c>
      <c r="AZ138" s="357">
        <f t="shared" si="427"/>
        <v>105050.85525582434</v>
      </c>
      <c r="BA138" s="357">
        <f t="shared" si="427"/>
        <v>105844.5778797314</v>
      </c>
      <c r="BB138" s="357">
        <f t="shared" si="427"/>
        <v>106638.20854253384</v>
      </c>
      <c r="BC138" s="357">
        <f t="shared" si="427"/>
        <v>107431.74678442617</v>
      </c>
      <c r="BD138" s="357">
        <f t="shared" si="427"/>
        <v>108225.19214330379</v>
      </c>
      <c r="BE138" s="357">
        <f t="shared" si="427"/>
        <v>109018.54415475164</v>
      </c>
      <c r="BF138" s="357">
        <f t="shared" si="427"/>
        <v>109811.8023520326</v>
      </c>
      <c r="BG138" s="357">
        <f t="shared" si="427"/>
        <v>110604.96626607583</v>
      </c>
      <c r="BH138" s="357">
        <f t="shared" si="427"/>
        <v>111398.03542546507</v>
      </c>
      <c r="BI138" s="357">
        <f t="shared" si="427"/>
        <v>112191.00935642714</v>
      </c>
      <c r="BK138" s="162"/>
      <c r="BL138" s="162"/>
      <c r="BM138" s="162"/>
      <c r="BN138" s="162"/>
      <c r="BO138" s="162"/>
      <c r="BP138" s="162"/>
      <c r="BQ138" s="394"/>
      <c r="BR138" s="394"/>
      <c r="BS138" s="394"/>
      <c r="BT138" s="394"/>
      <c r="BU138" s="394"/>
      <c r="BV138" s="136"/>
      <c r="BW138" s="136"/>
    </row>
    <row r="139" spans="1:75">
      <c r="A139" s="209"/>
      <c r="B139" s="358"/>
      <c r="C139" s="358"/>
      <c r="D139" s="358"/>
      <c r="E139" s="358"/>
      <c r="F139" s="358"/>
      <c r="G139" s="358"/>
      <c r="H139" s="358"/>
      <c r="I139" s="358"/>
      <c r="J139" s="358"/>
      <c r="K139" s="358"/>
      <c r="L139" s="358"/>
      <c r="M139" s="358"/>
      <c r="N139" s="358"/>
      <c r="O139" s="358"/>
      <c r="P139" s="358"/>
      <c r="Q139" s="358"/>
      <c r="R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c r="BA139" s="358"/>
      <c r="BB139" s="358"/>
      <c r="BC139" s="358"/>
      <c r="BD139" s="358"/>
      <c r="BE139" s="358"/>
      <c r="BF139" s="358"/>
      <c r="BG139" s="358"/>
      <c r="BH139" s="358"/>
      <c r="BI139" s="358"/>
      <c r="BK139" s="162"/>
      <c r="BL139" s="162"/>
      <c r="BM139" s="162"/>
      <c r="BN139" s="162"/>
      <c r="BO139" s="162"/>
      <c r="BP139" s="162"/>
      <c r="BQ139" s="394"/>
      <c r="BR139" s="394"/>
      <c r="BS139" s="394"/>
      <c r="BT139" s="394"/>
      <c r="BU139" s="394"/>
      <c r="BV139" s="136"/>
      <c r="BW139" s="136"/>
    </row>
    <row r="140" spans="1:75">
      <c r="A140" s="209"/>
      <c r="B140" s="209"/>
      <c r="C140" s="209"/>
      <c r="D140" s="209"/>
      <c r="E140" s="209"/>
      <c r="BK140" s="162"/>
      <c r="BL140" s="162"/>
      <c r="BM140" s="162"/>
      <c r="BN140" s="162"/>
      <c r="BO140" s="162"/>
      <c r="BP140" s="162"/>
      <c r="BQ140" s="394"/>
      <c r="BR140" s="394"/>
      <c r="BS140" s="394"/>
      <c r="BT140" s="394"/>
      <c r="BU140" s="394"/>
      <c r="BV140" s="136"/>
      <c r="BW140" s="136"/>
    </row>
    <row r="141" spans="1:75">
      <c r="A141" s="209"/>
      <c r="B141" s="209"/>
      <c r="C141" s="209"/>
      <c r="D141" s="209"/>
      <c r="E141" s="209"/>
      <c r="BK141" s="162"/>
      <c r="BL141" s="162"/>
      <c r="BM141" s="162"/>
      <c r="BN141" s="162"/>
      <c r="BO141" s="162"/>
      <c r="BP141" s="162"/>
      <c r="BQ141" s="394"/>
      <c r="BR141" s="394"/>
      <c r="BS141" s="394"/>
      <c r="BT141" s="394"/>
      <c r="BU141" s="394"/>
      <c r="BV141" s="136"/>
      <c r="BW141" s="136"/>
    </row>
    <row r="142" spans="1:75">
      <c r="A142" s="209"/>
      <c r="B142" s="209"/>
      <c r="C142" s="209"/>
      <c r="D142" s="209"/>
      <c r="E142" s="209"/>
      <c r="BK142" s="162"/>
      <c r="BL142" s="162"/>
      <c r="BM142" s="162"/>
      <c r="BN142" s="162"/>
      <c r="BO142" s="162"/>
      <c r="BP142" s="162"/>
      <c r="BQ142" s="394"/>
      <c r="BR142" s="394"/>
      <c r="BS142" s="394"/>
      <c r="BT142" s="394"/>
      <c r="BU142" s="394"/>
      <c r="BV142" s="136"/>
      <c r="BW142" s="136"/>
    </row>
    <row r="143" spans="1:75">
      <c r="A143" s="209"/>
      <c r="B143" s="209"/>
      <c r="C143" s="209"/>
      <c r="D143" s="209"/>
      <c r="E143" s="209"/>
      <c r="BK143" s="162"/>
      <c r="BL143" s="162"/>
      <c r="BM143" s="162"/>
      <c r="BN143" s="162"/>
      <c r="BO143" s="162"/>
      <c r="BP143" s="162"/>
      <c r="BQ143" s="394"/>
      <c r="BR143" s="394"/>
      <c r="BS143" s="394"/>
      <c r="BT143" s="394"/>
      <c r="BU143" s="394"/>
      <c r="BV143" s="136"/>
      <c r="BW143" s="136"/>
    </row>
    <row r="144" spans="1:75">
      <c r="A144" s="209"/>
      <c r="B144" s="209"/>
      <c r="C144" s="209"/>
      <c r="D144" s="209"/>
      <c r="E144" s="209"/>
      <c r="BK144" s="162"/>
      <c r="BL144" s="162"/>
      <c r="BM144" s="162"/>
      <c r="BN144" s="162"/>
      <c r="BO144" s="162"/>
      <c r="BP144" s="162"/>
      <c r="BQ144" s="394"/>
      <c r="BR144" s="394"/>
      <c r="BS144" s="394"/>
      <c r="BT144" s="394"/>
      <c r="BU144" s="394"/>
      <c r="BV144" s="136"/>
      <c r="BW144" s="136"/>
    </row>
    <row r="145" spans="1:75">
      <c r="A145" s="209"/>
      <c r="B145" s="209"/>
      <c r="C145" s="209"/>
      <c r="D145" s="209"/>
      <c r="E145" s="209"/>
      <c r="BK145" s="162"/>
      <c r="BL145" s="162"/>
      <c r="BM145" s="162"/>
      <c r="BN145" s="162"/>
      <c r="BO145" s="162"/>
      <c r="BP145" s="162"/>
      <c r="BQ145" s="394"/>
      <c r="BR145" s="394"/>
      <c r="BS145" s="394"/>
      <c r="BT145" s="394"/>
      <c r="BU145" s="394"/>
      <c r="BV145" s="136"/>
      <c r="BW145" s="136"/>
    </row>
    <row r="146" spans="1:75">
      <c r="A146" s="209"/>
      <c r="B146" s="209"/>
      <c r="C146" s="209"/>
      <c r="D146" s="209"/>
      <c r="E146" s="209"/>
      <c r="BK146" s="162"/>
      <c r="BL146" s="162"/>
      <c r="BM146" s="162"/>
      <c r="BN146" s="162"/>
      <c r="BO146" s="162"/>
      <c r="BP146" s="162"/>
      <c r="BQ146" s="394"/>
      <c r="BR146" s="394"/>
      <c r="BS146" s="394"/>
      <c r="BT146" s="394"/>
      <c r="BU146" s="394"/>
      <c r="BV146" s="136"/>
      <c r="BW146" s="136"/>
    </row>
    <row r="147" spans="1:75">
      <c r="A147" s="209"/>
      <c r="B147" s="209"/>
      <c r="C147" s="209"/>
      <c r="D147" s="209"/>
      <c r="E147" s="209"/>
      <c r="BK147" s="162"/>
      <c r="BL147" s="162"/>
      <c r="BM147" s="162"/>
      <c r="BN147" s="162"/>
      <c r="BO147" s="162"/>
      <c r="BP147" s="162"/>
      <c r="BQ147" s="394"/>
      <c r="BR147" s="394"/>
      <c r="BS147" s="394"/>
      <c r="BT147" s="394"/>
      <c r="BU147" s="394"/>
      <c r="BV147" s="136"/>
      <c r="BW147" s="136"/>
    </row>
    <row r="148" spans="1:75">
      <c r="A148" s="209"/>
      <c r="B148" s="209"/>
      <c r="C148" s="210"/>
      <c r="D148"/>
      <c r="E148"/>
      <c r="BK148" s="162"/>
      <c r="BL148" s="162"/>
      <c r="BM148" s="162"/>
      <c r="BN148" s="162"/>
      <c r="BO148" s="162"/>
      <c r="BP148" s="162"/>
      <c r="BQ148" s="394"/>
      <c r="BR148" s="394"/>
      <c r="BS148" s="394"/>
      <c r="BT148" s="394"/>
      <c r="BU148" s="394"/>
      <c r="BV148" s="136"/>
      <c r="BW148" s="136"/>
    </row>
    <row r="149" spans="1:75">
      <c r="A149" s="209"/>
      <c r="B149" s="209"/>
      <c r="C149" s="209"/>
      <c r="D149" s="209"/>
      <c r="E149" s="209"/>
      <c r="BK149" s="162"/>
      <c r="BL149" s="162"/>
      <c r="BM149" s="162"/>
      <c r="BN149" s="162"/>
      <c r="BO149" s="162"/>
      <c r="BP149" s="162"/>
      <c r="BQ149" s="394"/>
      <c r="BR149" s="394"/>
      <c r="BS149" s="394"/>
      <c r="BT149" s="394"/>
      <c r="BU149" s="394"/>
      <c r="BV149" s="136"/>
      <c r="BW149" s="136"/>
    </row>
    <row r="150" spans="1:75">
      <c r="A150" s="209"/>
      <c r="B150" s="209"/>
      <c r="C150" s="209"/>
      <c r="D150" s="209"/>
      <c r="E150" s="209"/>
      <c r="BK150" s="162"/>
      <c r="BL150" s="162"/>
      <c r="BM150" s="162"/>
      <c r="BN150" s="162"/>
      <c r="BO150" s="162"/>
      <c r="BP150" s="162"/>
      <c r="BQ150" s="394"/>
      <c r="BR150" s="394"/>
      <c r="BS150" s="394"/>
      <c r="BT150" s="394"/>
      <c r="BU150" s="394"/>
      <c r="BV150" s="136"/>
      <c r="BW150" s="136"/>
    </row>
    <row r="151" spans="1:75">
      <c r="A151" s="209"/>
      <c r="B151" s="209"/>
      <c r="C151" s="209"/>
      <c r="D151" s="209"/>
      <c r="E151" s="209"/>
      <c r="BK151" s="162"/>
      <c r="BL151" s="162"/>
      <c r="BM151" s="162"/>
      <c r="BN151" s="162"/>
      <c r="BO151" s="162"/>
      <c r="BP151" s="162"/>
      <c r="BQ151" s="394"/>
      <c r="BR151" s="394"/>
      <c r="BS151" s="394"/>
      <c r="BT151" s="394"/>
      <c r="BU151" s="394"/>
      <c r="BV151" s="136"/>
      <c r="BW151" s="136"/>
    </row>
    <row r="152" spans="1:75">
      <c r="A152" s="209"/>
      <c r="B152" s="209"/>
      <c r="C152" s="209"/>
      <c r="D152" s="209"/>
      <c r="E152" s="209"/>
      <c r="BK152" s="162"/>
      <c r="BL152" s="162"/>
      <c r="BM152" s="162"/>
      <c r="BN152" s="162"/>
      <c r="BO152" s="162"/>
      <c r="BP152" s="162"/>
      <c r="BQ152" s="394"/>
      <c r="BR152" s="394"/>
      <c r="BS152" s="394"/>
      <c r="BT152" s="394"/>
      <c r="BU152" s="394"/>
      <c r="BV152" s="136"/>
      <c r="BW152" s="136"/>
    </row>
    <row r="153" spans="1:75">
      <c r="A153" s="209"/>
      <c r="B153" s="209"/>
      <c r="C153" s="209"/>
      <c r="D153" s="209"/>
      <c r="E153" s="209"/>
      <c r="BK153" s="162"/>
      <c r="BL153" s="162"/>
      <c r="BM153" s="162"/>
      <c r="BN153" s="162"/>
      <c r="BO153" s="162"/>
      <c r="BP153" s="162"/>
      <c r="BQ153" s="394"/>
      <c r="BR153" s="394"/>
      <c r="BS153" s="394"/>
      <c r="BT153" s="394"/>
      <c r="BU153" s="394"/>
      <c r="BV153" s="136"/>
      <c r="BW153" s="136"/>
    </row>
    <row r="154" spans="1:75">
      <c r="A154" s="209"/>
      <c r="B154" s="209"/>
      <c r="C154" s="209"/>
      <c r="D154" s="209"/>
      <c r="E154" s="209"/>
      <c r="BK154" s="162"/>
      <c r="BL154" s="162"/>
      <c r="BM154" s="162"/>
      <c r="BN154" s="162"/>
      <c r="BO154" s="162"/>
      <c r="BP154" s="162"/>
      <c r="BQ154" s="394"/>
      <c r="BR154" s="394"/>
      <c r="BS154" s="394"/>
      <c r="BT154" s="394"/>
      <c r="BU154" s="394"/>
      <c r="BV154" s="136"/>
      <c r="BW154" s="136"/>
    </row>
    <row r="155" spans="1:75">
      <c r="A155" s="209"/>
      <c r="B155" s="209"/>
      <c r="C155" s="209"/>
      <c r="D155" s="209"/>
      <c r="E155" s="209"/>
      <c r="BK155" s="162"/>
      <c r="BL155" s="162"/>
      <c r="BM155" s="162"/>
      <c r="BN155" s="162"/>
      <c r="BO155" s="162"/>
      <c r="BP155" s="162"/>
      <c r="BQ155" s="394"/>
      <c r="BR155" s="394"/>
      <c r="BS155" s="394"/>
      <c r="BT155" s="394"/>
      <c r="BU155" s="394"/>
      <c r="BV155" s="136"/>
      <c r="BW155" s="136"/>
    </row>
    <row r="156" spans="1:75">
      <c r="A156" s="209"/>
      <c r="B156" s="209"/>
      <c r="C156" s="209"/>
      <c r="D156" s="209"/>
      <c r="E156" s="209"/>
      <c r="BK156" s="162"/>
      <c r="BL156" s="162"/>
      <c r="BM156" s="162"/>
      <c r="BN156" s="162"/>
      <c r="BO156" s="162"/>
      <c r="BP156" s="162"/>
      <c r="BQ156" s="394"/>
      <c r="BR156" s="394"/>
      <c r="BS156" s="394"/>
      <c r="BT156" s="394"/>
      <c r="BU156" s="394"/>
      <c r="BV156" s="136"/>
      <c r="BW156" s="136"/>
    </row>
    <row r="157" spans="1:75">
      <c r="A157" s="209"/>
      <c r="B157" s="209"/>
      <c r="C157" s="209"/>
      <c r="D157" s="209"/>
      <c r="E157" s="209"/>
      <c r="BK157" s="162"/>
      <c r="BL157" s="162"/>
      <c r="BM157" s="162"/>
      <c r="BN157" s="162"/>
      <c r="BO157" s="162"/>
      <c r="BP157" s="162"/>
      <c r="BQ157" s="394"/>
      <c r="BR157" s="394"/>
      <c r="BS157" s="394"/>
      <c r="BT157" s="394"/>
      <c r="BU157" s="394"/>
      <c r="BV157" s="136"/>
      <c r="BW157" s="136"/>
    </row>
    <row r="158" spans="1:75">
      <c r="A158" s="209"/>
      <c r="B158" s="209"/>
      <c r="C158" s="209"/>
      <c r="D158" s="209"/>
      <c r="E158" s="209"/>
      <c r="BK158" s="162"/>
      <c r="BL158" s="162"/>
      <c r="BM158" s="162"/>
      <c r="BN158" s="162"/>
      <c r="BO158" s="162"/>
      <c r="BP158" s="162"/>
      <c r="BQ158" s="394"/>
      <c r="BR158" s="394"/>
      <c r="BS158" s="394"/>
      <c r="BT158" s="394"/>
      <c r="BU158" s="394"/>
      <c r="BV158" s="136"/>
      <c r="BW158" s="136"/>
    </row>
    <row r="159" spans="1:75">
      <c r="A159" s="209"/>
      <c r="B159" s="209"/>
      <c r="C159" s="209"/>
      <c r="D159" s="209"/>
      <c r="E159" s="209"/>
      <c r="BK159" s="162"/>
      <c r="BL159" s="162"/>
      <c r="BM159" s="162"/>
      <c r="BN159" s="162"/>
      <c r="BO159" s="162"/>
      <c r="BP159" s="162"/>
      <c r="BQ159" s="394"/>
      <c r="BR159" s="394"/>
      <c r="BS159" s="394"/>
      <c r="BT159" s="394"/>
      <c r="BU159" s="394"/>
      <c r="BV159" s="136"/>
      <c r="BW159" s="136"/>
    </row>
    <row r="160" spans="1:75">
      <c r="A160" s="209"/>
      <c r="B160" s="209"/>
      <c r="C160" s="209"/>
      <c r="D160" s="209"/>
      <c r="E160" s="209"/>
      <c r="BK160" s="162"/>
      <c r="BL160" s="162"/>
      <c r="BM160" s="162"/>
      <c r="BN160" s="162"/>
      <c r="BO160" s="162"/>
      <c r="BP160" s="162"/>
      <c r="BQ160" s="394"/>
      <c r="BR160" s="394"/>
      <c r="BS160" s="394"/>
      <c r="BT160" s="394"/>
      <c r="BU160" s="394"/>
      <c r="BV160" s="136"/>
      <c r="BW160" s="136"/>
    </row>
    <row r="161" spans="1:75">
      <c r="A161" s="209"/>
      <c r="B161" s="209"/>
      <c r="C161" s="209"/>
      <c r="D161" s="209"/>
      <c r="E161" s="209"/>
      <c r="BK161" s="162"/>
      <c r="BL161" s="162"/>
      <c r="BM161" s="162"/>
      <c r="BN161" s="162"/>
      <c r="BO161" s="162"/>
      <c r="BP161" s="162"/>
      <c r="BQ161" s="394"/>
      <c r="BR161" s="394"/>
      <c r="BS161" s="394"/>
      <c r="BT161" s="394"/>
      <c r="BU161" s="394"/>
      <c r="BV161" s="136"/>
      <c r="BW161" s="136"/>
    </row>
    <row r="162" spans="1:75">
      <c r="A162" s="209"/>
      <c r="B162" s="209"/>
      <c r="C162" s="209"/>
      <c r="D162" s="209"/>
      <c r="E162" s="209"/>
      <c r="BK162" s="162"/>
      <c r="BL162" s="162"/>
      <c r="BM162" s="162"/>
      <c r="BN162" s="162"/>
      <c r="BO162" s="162"/>
      <c r="BP162" s="162"/>
      <c r="BQ162" s="394"/>
      <c r="BR162" s="394"/>
      <c r="BS162" s="394"/>
      <c r="BT162" s="394"/>
      <c r="BU162" s="394"/>
      <c r="BV162" s="136"/>
      <c r="BW162" s="136"/>
    </row>
    <row r="163" spans="1:75">
      <c r="A163" s="209"/>
      <c r="B163" s="209"/>
      <c r="C163" s="209"/>
      <c r="D163" s="209"/>
      <c r="E163" s="209"/>
      <c r="BK163" s="162"/>
      <c r="BL163" s="162"/>
      <c r="BM163" s="162"/>
      <c r="BN163" s="162"/>
      <c r="BO163" s="162"/>
      <c r="BP163" s="162"/>
      <c r="BQ163" s="394"/>
      <c r="BR163" s="394"/>
      <c r="BS163" s="394"/>
      <c r="BT163" s="394"/>
      <c r="BU163" s="394"/>
      <c r="BV163" s="136"/>
      <c r="BW163" s="136"/>
    </row>
    <row r="164" spans="1:75">
      <c r="A164" s="209"/>
      <c r="B164" s="209"/>
      <c r="C164" s="209"/>
      <c r="D164" s="209"/>
      <c r="E164" s="209"/>
      <c r="BK164" s="162"/>
      <c r="BL164" s="162"/>
      <c r="BM164" s="162"/>
      <c r="BN164" s="162"/>
      <c r="BO164" s="162"/>
      <c r="BP164" s="162"/>
      <c r="BQ164" s="394"/>
      <c r="BR164" s="394"/>
      <c r="BS164" s="394"/>
      <c r="BT164" s="394"/>
      <c r="BU164" s="394"/>
      <c r="BV164" s="136"/>
      <c r="BW164" s="136"/>
    </row>
    <row r="165" spans="1:75">
      <c r="A165" s="209"/>
      <c r="B165" s="209"/>
      <c r="C165" s="209"/>
      <c r="D165" s="209"/>
      <c r="E165" s="209"/>
      <c r="BK165" s="162"/>
      <c r="BL165" s="162"/>
      <c r="BM165" s="162"/>
      <c r="BN165" s="162"/>
      <c r="BO165" s="162"/>
      <c r="BP165" s="162"/>
      <c r="BQ165" s="394"/>
      <c r="BR165" s="394"/>
      <c r="BS165" s="394"/>
      <c r="BT165" s="394"/>
      <c r="BU165" s="394"/>
      <c r="BV165" s="136"/>
      <c r="BW165" s="136"/>
    </row>
    <row r="166" spans="1:75">
      <c r="A166" s="209"/>
      <c r="B166" s="209"/>
      <c r="C166" s="209"/>
      <c r="D166" s="209"/>
      <c r="E166" s="209"/>
      <c r="BK166" s="162"/>
      <c r="BL166" s="162"/>
      <c r="BM166" s="162"/>
      <c r="BN166" s="162"/>
      <c r="BO166" s="162"/>
      <c r="BP166" s="162"/>
      <c r="BQ166" s="394"/>
      <c r="BR166" s="394"/>
      <c r="BS166" s="394"/>
      <c r="BT166" s="394"/>
      <c r="BU166" s="394"/>
      <c r="BV166" s="136"/>
      <c r="BW166" s="136"/>
    </row>
    <row r="167" spans="1:75">
      <c r="A167" s="209"/>
      <c r="B167" s="209"/>
      <c r="C167" s="209"/>
      <c r="D167" s="209"/>
      <c r="E167" s="209"/>
      <c r="BK167" s="162"/>
      <c r="BL167" s="162"/>
      <c r="BM167" s="162"/>
      <c r="BN167" s="162"/>
      <c r="BO167" s="162"/>
      <c r="BP167" s="162"/>
      <c r="BQ167" s="394"/>
      <c r="BR167" s="394"/>
      <c r="BS167" s="394"/>
      <c r="BT167" s="394"/>
      <c r="BU167" s="394"/>
      <c r="BV167" s="136"/>
      <c r="BW167" s="136"/>
    </row>
    <row r="168" spans="1:75">
      <c r="A168" s="209"/>
      <c r="B168" s="209"/>
      <c r="C168" s="209"/>
      <c r="D168" s="209"/>
      <c r="E168" s="209"/>
      <c r="BK168" s="162"/>
      <c r="BL168" s="162"/>
      <c r="BM168" s="162"/>
      <c r="BN168" s="162"/>
      <c r="BO168" s="162"/>
      <c r="BP168" s="162"/>
      <c r="BQ168" s="394"/>
      <c r="BR168" s="394"/>
      <c r="BS168" s="394"/>
      <c r="BT168" s="394"/>
      <c r="BU168" s="394"/>
      <c r="BV168" s="136"/>
      <c r="BW168" s="136"/>
    </row>
    <row r="169" spans="1:75">
      <c r="A169" s="209"/>
      <c r="B169" s="209"/>
      <c r="C169" s="209"/>
      <c r="D169" s="209"/>
      <c r="E169" s="209"/>
      <c r="BK169" s="162"/>
      <c r="BL169" s="162"/>
      <c r="BM169" s="162"/>
      <c r="BN169" s="162"/>
      <c r="BO169" s="162"/>
      <c r="BP169" s="162"/>
      <c r="BQ169" s="394"/>
      <c r="BR169" s="394"/>
      <c r="BS169" s="394"/>
      <c r="BT169" s="394"/>
      <c r="BU169" s="394"/>
      <c r="BV169" s="136"/>
      <c r="BW169" s="136"/>
    </row>
    <row r="170" spans="1:75">
      <c r="A170"/>
      <c r="B170"/>
      <c r="C170" s="210"/>
      <c r="D170"/>
      <c r="E170"/>
      <c r="BK170" s="162"/>
      <c r="BL170" s="162"/>
      <c r="BM170" s="162"/>
      <c r="BN170" s="162"/>
      <c r="BO170" s="162"/>
      <c r="BP170" s="162"/>
      <c r="BQ170" s="394"/>
      <c r="BR170" s="394"/>
      <c r="BS170" s="394"/>
      <c r="BT170" s="394"/>
      <c r="BU170" s="394"/>
      <c r="BV170" s="136"/>
      <c r="BW170" s="136"/>
    </row>
    <row r="171" spans="1:75">
      <c r="A171" s="209"/>
      <c r="B171" s="209"/>
      <c r="C171" s="209"/>
      <c r="D171" s="209"/>
      <c r="E171" s="209"/>
      <c r="BK171" s="162"/>
      <c r="BL171" s="162"/>
      <c r="BM171" s="162"/>
      <c r="BN171" s="162"/>
      <c r="BO171" s="162"/>
      <c r="BP171" s="162"/>
      <c r="BQ171" s="394"/>
      <c r="BR171" s="394"/>
      <c r="BS171" s="394"/>
      <c r="BT171" s="394"/>
      <c r="BU171" s="394"/>
      <c r="BV171" s="136"/>
      <c r="BW171" s="136"/>
    </row>
    <row r="172" spans="1:75">
      <c r="A172" s="209"/>
      <c r="B172" s="209"/>
      <c r="C172" s="209"/>
      <c r="D172" s="209"/>
      <c r="E172" s="209"/>
      <c r="BK172" s="162"/>
      <c r="BL172" s="162"/>
      <c r="BM172" s="162"/>
      <c r="BN172" s="162"/>
      <c r="BO172" s="162"/>
      <c r="BP172" s="162"/>
      <c r="BQ172" s="394"/>
      <c r="BR172" s="394"/>
      <c r="BS172" s="394"/>
      <c r="BT172" s="394"/>
      <c r="BU172" s="394"/>
      <c r="BV172" s="136"/>
      <c r="BW172" s="136"/>
    </row>
    <row r="173" spans="1:75">
      <c r="A173"/>
      <c r="B173"/>
      <c r="C173" s="210"/>
      <c r="D173"/>
      <c r="E173"/>
      <c r="BK173" s="162"/>
      <c r="BL173" s="162"/>
      <c r="BM173" s="162"/>
      <c r="BN173" s="162"/>
      <c r="BO173" s="162"/>
      <c r="BP173" s="162"/>
      <c r="BQ173" s="394"/>
      <c r="BR173" s="394"/>
      <c r="BS173" s="394"/>
      <c r="BT173" s="394"/>
      <c r="BU173" s="394"/>
      <c r="BV173" s="136"/>
      <c r="BW173" s="136"/>
    </row>
    <row r="174" spans="1:75">
      <c r="A174" s="209"/>
      <c r="B174" s="209"/>
      <c r="C174" s="209"/>
      <c r="D174" s="209"/>
      <c r="E174" s="209"/>
      <c r="BK174" s="162"/>
      <c r="BL174" s="162"/>
      <c r="BM174" s="162"/>
      <c r="BN174" s="162"/>
      <c r="BO174" s="162"/>
      <c r="BP174" s="162"/>
      <c r="BQ174" s="394"/>
      <c r="BR174" s="394"/>
      <c r="BS174" s="394"/>
      <c r="BT174" s="394"/>
      <c r="BU174" s="394"/>
      <c r="BV174" s="136"/>
      <c r="BW174" s="136"/>
    </row>
    <row r="175" spans="1:75">
      <c r="A175" s="209"/>
      <c r="B175" s="209"/>
      <c r="C175" s="209"/>
      <c r="D175" s="209"/>
      <c r="E175" s="209"/>
      <c r="BK175" s="162"/>
      <c r="BL175" s="162"/>
      <c r="BM175" s="162"/>
      <c r="BN175" s="162"/>
      <c r="BO175" s="162"/>
      <c r="BP175" s="162"/>
      <c r="BQ175" s="394"/>
      <c r="BR175" s="394"/>
      <c r="BS175" s="394"/>
      <c r="BT175" s="394"/>
      <c r="BU175" s="394"/>
      <c r="BV175" s="136"/>
      <c r="BW175" s="136"/>
    </row>
    <row r="176" spans="1:75">
      <c r="A176" s="209"/>
      <c r="B176" s="209"/>
      <c r="C176" s="209"/>
      <c r="D176" s="209"/>
      <c r="E176" s="209"/>
      <c r="BK176" s="162"/>
      <c r="BL176" s="162"/>
      <c r="BM176" s="162"/>
      <c r="BN176" s="162"/>
      <c r="BO176" s="162"/>
      <c r="BP176" s="162"/>
      <c r="BQ176" s="394"/>
      <c r="BR176" s="394"/>
      <c r="BS176" s="394"/>
      <c r="BT176" s="394"/>
      <c r="BU176" s="394"/>
      <c r="BV176" s="136"/>
      <c r="BW176" s="136"/>
    </row>
    <row r="177" spans="1:75">
      <c r="A177" s="209"/>
      <c r="B177" s="209"/>
      <c r="C177" s="209"/>
      <c r="D177" s="209"/>
      <c r="E177" s="209"/>
      <c r="BK177" s="162"/>
      <c r="BL177" s="162"/>
      <c r="BM177" s="162"/>
      <c r="BN177" s="162"/>
      <c r="BO177" s="162"/>
      <c r="BP177" s="162"/>
      <c r="BQ177" s="394"/>
      <c r="BR177" s="394"/>
      <c r="BS177" s="394"/>
      <c r="BT177" s="394"/>
      <c r="BU177" s="394"/>
      <c r="BV177" s="136"/>
      <c r="BW177" s="136"/>
    </row>
    <row r="178" spans="1:75">
      <c r="A178"/>
      <c r="B178"/>
      <c r="C178" s="211"/>
      <c r="D178" s="211"/>
      <c r="E178" s="211"/>
      <c r="BK178" s="162"/>
      <c r="BL178" s="162"/>
      <c r="BM178" s="162"/>
      <c r="BN178" s="162"/>
      <c r="BO178" s="162"/>
      <c r="BP178" s="162"/>
      <c r="BQ178" s="394"/>
      <c r="BR178" s="394"/>
      <c r="BS178" s="394"/>
      <c r="BT178" s="394"/>
      <c r="BU178" s="394"/>
      <c r="BV178" s="136"/>
      <c r="BW178" s="136"/>
    </row>
    <row r="179" spans="1:75">
      <c r="A179"/>
      <c r="B179"/>
      <c r="C179" s="211"/>
      <c r="D179" s="211"/>
      <c r="E179" s="211"/>
      <c r="BK179" s="162"/>
      <c r="BL179" s="162"/>
      <c r="BM179" s="162"/>
      <c r="BN179" s="162"/>
      <c r="BO179" s="162"/>
      <c r="BP179" s="162"/>
      <c r="BQ179" s="394"/>
      <c r="BR179" s="394"/>
      <c r="BS179" s="394"/>
      <c r="BT179" s="394"/>
      <c r="BU179" s="394"/>
      <c r="BV179" s="136"/>
      <c r="BW179" s="136"/>
    </row>
    <row r="180" spans="1:75">
      <c r="A180" s="209"/>
      <c r="B180" s="209"/>
      <c r="C180" s="209"/>
      <c r="D180" s="209"/>
      <c r="E180" s="209"/>
      <c r="BK180" s="162"/>
      <c r="BL180" s="162"/>
      <c r="BM180" s="162"/>
      <c r="BN180" s="162"/>
      <c r="BO180" s="162"/>
      <c r="BP180" s="162"/>
      <c r="BQ180" s="394"/>
      <c r="BR180" s="394"/>
      <c r="BS180" s="394"/>
      <c r="BT180" s="394"/>
      <c r="BU180" s="394"/>
      <c r="BV180" s="136"/>
      <c r="BW180" s="136"/>
    </row>
    <row r="181" spans="1:75">
      <c r="A181" s="209"/>
      <c r="B181" s="209"/>
      <c r="C181" s="209"/>
      <c r="D181" s="209"/>
      <c r="E181" s="209"/>
      <c r="BK181" s="162"/>
      <c r="BL181" s="162"/>
      <c r="BM181" s="162"/>
      <c r="BN181" s="162"/>
      <c r="BO181" s="162"/>
      <c r="BP181" s="162"/>
      <c r="BQ181" s="394"/>
      <c r="BR181" s="394"/>
      <c r="BS181" s="394"/>
      <c r="BT181" s="394"/>
      <c r="BU181" s="394"/>
      <c r="BV181" s="136"/>
      <c r="BW181" s="136"/>
    </row>
    <row r="182" spans="1:75">
      <c r="A182" s="209"/>
      <c r="B182" s="209"/>
      <c r="C182" s="209"/>
      <c r="D182" s="209"/>
      <c r="E182" s="209"/>
      <c r="BK182" s="162"/>
      <c r="BL182" s="162"/>
      <c r="BM182" s="162"/>
      <c r="BN182" s="162"/>
      <c r="BO182" s="162"/>
      <c r="BP182" s="162"/>
      <c r="BQ182" s="394"/>
      <c r="BR182" s="394"/>
      <c r="BS182" s="394"/>
      <c r="BT182" s="394"/>
      <c r="BU182" s="394"/>
      <c r="BV182" s="136"/>
      <c r="BW182" s="136"/>
    </row>
    <row r="183" spans="1:75">
      <c r="A183" s="209"/>
      <c r="B183" s="209"/>
      <c r="C183" s="209"/>
      <c r="D183" s="209"/>
      <c r="E183" s="209"/>
      <c r="BK183" s="162"/>
      <c r="BL183" s="162"/>
      <c r="BM183" s="162"/>
      <c r="BN183" s="162"/>
      <c r="BO183" s="162"/>
      <c r="BP183" s="162"/>
      <c r="BQ183" s="394"/>
      <c r="BR183" s="394"/>
      <c r="BS183" s="394"/>
      <c r="BT183" s="394"/>
      <c r="BU183" s="394"/>
      <c r="BV183" s="136"/>
      <c r="BW183" s="136"/>
    </row>
    <row r="184" spans="1:75">
      <c r="A184" s="209"/>
      <c r="B184" s="209"/>
      <c r="C184" s="209"/>
      <c r="D184" s="209"/>
      <c r="E184" s="209"/>
      <c r="BK184" s="162"/>
      <c r="BL184" s="162"/>
      <c r="BM184" s="162"/>
      <c r="BN184" s="162"/>
      <c r="BO184" s="162"/>
      <c r="BP184" s="162"/>
      <c r="BQ184" s="394"/>
      <c r="BR184" s="394"/>
      <c r="BS184" s="394"/>
      <c r="BT184" s="394"/>
      <c r="BU184" s="394"/>
      <c r="BV184" s="136"/>
      <c r="BW184" s="136"/>
    </row>
    <row r="185" spans="1:75">
      <c r="A185" s="209"/>
      <c r="B185" s="209"/>
      <c r="C185" s="209"/>
      <c r="D185" s="209"/>
      <c r="E185" s="209"/>
      <c r="BK185" s="162"/>
      <c r="BL185" s="162"/>
      <c r="BM185" s="162"/>
      <c r="BN185" s="162"/>
      <c r="BO185" s="162"/>
      <c r="BP185" s="162"/>
      <c r="BQ185" s="394"/>
      <c r="BR185" s="394"/>
      <c r="BS185" s="394"/>
      <c r="BT185" s="394"/>
      <c r="BU185" s="394"/>
      <c r="BV185" s="136"/>
      <c r="BW185" s="136"/>
    </row>
    <row r="186" spans="1:75">
      <c r="A186" s="209"/>
      <c r="B186" s="209"/>
      <c r="C186" s="209"/>
      <c r="D186" s="209"/>
      <c r="E186" s="209"/>
      <c r="BK186" s="162"/>
      <c r="BL186" s="162"/>
      <c r="BM186" s="162"/>
      <c r="BN186" s="162"/>
      <c r="BO186" s="162"/>
      <c r="BP186" s="162"/>
      <c r="BQ186" s="394"/>
      <c r="BR186" s="394"/>
      <c r="BS186" s="394"/>
      <c r="BT186" s="394"/>
      <c r="BU186" s="394"/>
      <c r="BV186" s="136"/>
      <c r="BW186" s="136"/>
    </row>
    <row r="187" spans="1:75">
      <c r="A187" s="209"/>
      <c r="B187" s="209"/>
      <c r="C187" s="209"/>
      <c r="D187" s="209"/>
      <c r="E187" s="209"/>
      <c r="BK187" s="162"/>
      <c r="BL187" s="162"/>
      <c r="BM187" s="162"/>
      <c r="BN187" s="162"/>
      <c r="BO187" s="162"/>
      <c r="BP187" s="162"/>
      <c r="BQ187" s="394"/>
      <c r="BR187" s="394"/>
      <c r="BS187" s="394"/>
      <c r="BT187" s="394"/>
      <c r="BU187" s="394"/>
      <c r="BV187" s="136"/>
      <c r="BW187" s="136"/>
    </row>
    <row r="188" spans="1:75">
      <c r="A188" s="209"/>
      <c r="B188" s="209"/>
      <c r="C188" s="209"/>
      <c r="D188" s="209"/>
      <c r="E188" s="209"/>
      <c r="BK188" s="162"/>
      <c r="BL188" s="162"/>
      <c r="BM188" s="162"/>
      <c r="BN188" s="162"/>
      <c r="BO188" s="162"/>
      <c r="BP188" s="162"/>
      <c r="BQ188" s="394"/>
      <c r="BR188" s="394"/>
      <c r="BS188" s="394"/>
      <c r="BT188" s="394"/>
      <c r="BU188" s="394"/>
      <c r="BV188" s="136"/>
      <c r="BW188" s="136"/>
    </row>
    <row r="189" spans="1:75">
      <c r="A189" s="209"/>
      <c r="B189" s="209"/>
      <c r="C189" s="209"/>
      <c r="D189" s="209"/>
      <c r="E189" s="209"/>
      <c r="BK189" s="162"/>
      <c r="BL189" s="162"/>
      <c r="BM189" s="162"/>
      <c r="BN189" s="162"/>
      <c r="BO189" s="162"/>
      <c r="BP189" s="162"/>
      <c r="BQ189" s="394"/>
      <c r="BR189" s="394"/>
      <c r="BS189" s="394"/>
      <c r="BT189" s="394"/>
      <c r="BU189" s="394"/>
      <c r="BV189" s="136"/>
      <c r="BW189" s="136"/>
    </row>
    <row r="190" spans="1:75">
      <c r="A190" s="209"/>
      <c r="B190" s="209"/>
      <c r="C190" s="209"/>
      <c r="D190" s="209"/>
      <c r="E190" s="209"/>
      <c r="BK190" s="162"/>
      <c r="BL190" s="162"/>
      <c r="BM190" s="162"/>
      <c r="BN190" s="162"/>
      <c r="BO190" s="162"/>
      <c r="BP190" s="162"/>
      <c r="BQ190" s="394"/>
      <c r="BR190" s="394"/>
      <c r="BS190" s="394"/>
      <c r="BT190" s="394"/>
      <c r="BU190" s="394"/>
      <c r="BV190" s="136"/>
      <c r="BW190" s="136"/>
    </row>
    <row r="191" spans="1:75">
      <c r="A191" s="209"/>
      <c r="B191" s="209"/>
      <c r="C191" s="210"/>
      <c r="D191"/>
      <c r="E191"/>
      <c r="BK191" s="162"/>
      <c r="BL191" s="162"/>
      <c r="BM191" s="162"/>
      <c r="BN191" s="162"/>
      <c r="BO191" s="162"/>
      <c r="BP191" s="162"/>
      <c r="BQ191" s="394"/>
      <c r="BR191" s="394"/>
      <c r="BS191" s="394"/>
      <c r="BT191" s="394"/>
      <c r="BU191" s="394"/>
      <c r="BV191" s="136"/>
      <c r="BW191" s="136"/>
    </row>
    <row r="192" spans="1:75">
      <c r="A192" s="209"/>
      <c r="B192" s="209"/>
      <c r="C192" s="209"/>
      <c r="D192" s="209"/>
      <c r="E192" s="209"/>
      <c r="BK192" s="162"/>
      <c r="BL192" s="162"/>
      <c r="BM192" s="162"/>
      <c r="BN192" s="162"/>
      <c r="BO192" s="162"/>
      <c r="BP192" s="162"/>
      <c r="BQ192" s="394"/>
      <c r="BR192" s="394"/>
      <c r="BS192" s="394"/>
      <c r="BT192" s="394"/>
      <c r="BU192" s="394"/>
      <c r="BV192" s="136"/>
      <c r="BW192" s="136"/>
    </row>
    <row r="193" spans="1:75">
      <c r="A193" s="209"/>
      <c r="B193" s="209"/>
      <c r="C193" s="209"/>
      <c r="D193" s="209"/>
      <c r="E193" s="209"/>
      <c r="BK193" s="162"/>
      <c r="BL193" s="162"/>
      <c r="BM193" s="162"/>
      <c r="BN193" s="162"/>
      <c r="BO193" s="162"/>
      <c r="BP193" s="162"/>
      <c r="BQ193" s="394"/>
      <c r="BR193" s="394"/>
      <c r="BS193" s="394"/>
      <c r="BT193" s="394"/>
      <c r="BU193" s="394"/>
      <c r="BV193" s="136"/>
      <c r="BW193" s="136"/>
    </row>
    <row r="194" spans="1:75">
      <c r="A194" s="209"/>
      <c r="B194" s="209"/>
      <c r="C194" s="209"/>
      <c r="D194" s="209"/>
      <c r="E194" s="209"/>
      <c r="BK194" s="162"/>
      <c r="BL194" s="162"/>
      <c r="BM194" s="162"/>
      <c r="BN194" s="162"/>
      <c r="BO194" s="162"/>
      <c r="BP194" s="162"/>
      <c r="BQ194" s="394"/>
      <c r="BR194" s="394"/>
      <c r="BS194" s="394"/>
      <c r="BT194" s="394"/>
      <c r="BU194" s="394"/>
      <c r="BV194" s="136"/>
      <c r="BW194" s="136"/>
    </row>
    <row r="195" spans="1:75">
      <c r="A195"/>
      <c r="B195"/>
      <c r="C195" s="210"/>
      <c r="D195"/>
      <c r="E195"/>
      <c r="BK195" s="162"/>
      <c r="BL195" s="162"/>
      <c r="BM195" s="162"/>
      <c r="BN195" s="162"/>
      <c r="BO195" s="162"/>
      <c r="BP195" s="162"/>
      <c r="BQ195" s="394"/>
      <c r="BR195" s="394"/>
      <c r="BS195" s="394"/>
      <c r="BT195" s="394"/>
      <c r="BU195" s="394"/>
      <c r="BV195" s="136"/>
      <c r="BW195" s="136"/>
    </row>
    <row r="196" spans="1:75">
      <c r="A196" s="209"/>
      <c r="B196" s="209"/>
      <c r="C196" s="209"/>
      <c r="D196" s="209"/>
      <c r="E196" s="209"/>
      <c r="BK196" s="162"/>
      <c r="BL196" s="162"/>
      <c r="BM196" s="162"/>
      <c r="BN196" s="162"/>
      <c r="BO196" s="162"/>
      <c r="BP196" s="162"/>
      <c r="BQ196" s="394"/>
      <c r="BR196" s="394"/>
      <c r="BS196" s="394"/>
      <c r="BT196" s="394"/>
      <c r="BU196" s="394"/>
      <c r="BV196" s="136"/>
      <c r="BW196" s="136"/>
    </row>
    <row r="197" spans="1:75">
      <c r="A197" s="209"/>
      <c r="B197" s="209"/>
      <c r="C197" s="209"/>
      <c r="D197" s="209"/>
      <c r="E197" s="209"/>
      <c r="BK197" s="162"/>
      <c r="BL197" s="162"/>
      <c r="BM197" s="162"/>
      <c r="BN197" s="162"/>
      <c r="BO197" s="162"/>
      <c r="BP197" s="162"/>
      <c r="BQ197" s="394"/>
      <c r="BR197" s="394"/>
      <c r="BS197" s="394"/>
      <c r="BT197" s="394"/>
      <c r="BU197" s="394"/>
      <c r="BV197" s="136"/>
      <c r="BW197" s="136"/>
    </row>
    <row r="198" spans="1:75">
      <c r="A198" s="209"/>
      <c r="B198" s="209"/>
      <c r="C198" s="209"/>
      <c r="D198" s="209"/>
      <c r="E198" s="209"/>
      <c r="BK198" s="162"/>
      <c r="BL198" s="162"/>
      <c r="BM198" s="162"/>
      <c r="BN198" s="162"/>
      <c r="BO198" s="162"/>
      <c r="BP198" s="162"/>
      <c r="BQ198" s="394"/>
      <c r="BR198" s="394"/>
      <c r="BS198" s="394"/>
      <c r="BT198" s="394"/>
      <c r="BU198" s="394"/>
      <c r="BV198" s="136"/>
      <c r="BW198" s="136"/>
    </row>
    <row r="199" spans="1:75">
      <c r="A199" s="209"/>
      <c r="B199" s="209"/>
      <c r="C199" s="209"/>
      <c r="D199" s="209"/>
      <c r="E199" s="209"/>
      <c r="BK199" s="162"/>
      <c r="BL199" s="162"/>
      <c r="BM199" s="162"/>
      <c r="BN199" s="162"/>
      <c r="BO199" s="162"/>
      <c r="BP199" s="162"/>
      <c r="BQ199" s="394"/>
      <c r="BR199" s="394"/>
      <c r="BS199" s="394"/>
      <c r="BT199" s="394"/>
      <c r="BU199" s="394"/>
      <c r="BV199" s="136"/>
      <c r="BW199" s="136"/>
    </row>
    <row r="200" spans="1:75">
      <c r="BK200" s="162"/>
      <c r="BL200" s="162"/>
      <c r="BM200" s="162"/>
      <c r="BN200" s="162"/>
      <c r="BO200" s="162"/>
      <c r="BP200" s="162"/>
      <c r="BQ200" s="394"/>
      <c r="BR200" s="394"/>
      <c r="BS200" s="394"/>
      <c r="BT200" s="394"/>
      <c r="BU200" s="394"/>
      <c r="BV200" s="136"/>
      <c r="BW200" s="136"/>
    </row>
    <row r="201" spans="1:75">
      <c r="BK201" s="162"/>
      <c r="BL201" s="162"/>
      <c r="BM201" s="162"/>
      <c r="BN201" s="162"/>
      <c r="BO201" s="162"/>
      <c r="BP201" s="162"/>
      <c r="BQ201" s="394"/>
      <c r="BR201" s="394"/>
      <c r="BS201" s="394"/>
      <c r="BT201" s="394"/>
      <c r="BU201" s="394"/>
      <c r="BV201" s="136"/>
      <c r="BW201" s="136"/>
    </row>
    <row r="202" spans="1:75">
      <c r="BK202" s="162"/>
      <c r="BL202" s="162"/>
      <c r="BM202" s="162"/>
      <c r="BN202" s="162"/>
      <c r="BO202" s="162"/>
      <c r="BP202" s="162"/>
      <c r="BQ202" s="394"/>
      <c r="BR202" s="394"/>
      <c r="BS202" s="394"/>
      <c r="BT202" s="394"/>
      <c r="BU202" s="394"/>
      <c r="BV202" s="136"/>
      <c r="BW202" s="136"/>
    </row>
    <row r="203" spans="1:75">
      <c r="BK203" s="162"/>
      <c r="BL203" s="162"/>
      <c r="BM203" s="162"/>
      <c r="BN203" s="162"/>
      <c r="BO203" s="162"/>
      <c r="BP203" s="162"/>
      <c r="BQ203" s="394"/>
      <c r="BR203" s="394"/>
      <c r="BS203" s="394"/>
      <c r="BT203" s="394"/>
      <c r="BU203" s="394"/>
      <c r="BV203" s="136"/>
      <c r="BW203" s="136"/>
    </row>
    <row r="204" spans="1:75">
      <c r="BK204" s="162"/>
      <c r="BL204" s="162"/>
      <c r="BM204" s="162"/>
      <c r="BN204" s="162"/>
      <c r="BO204" s="162"/>
      <c r="BP204" s="162"/>
      <c r="BQ204" s="394"/>
      <c r="BR204" s="394"/>
      <c r="BS204" s="394"/>
      <c r="BT204" s="394"/>
      <c r="BU204" s="394"/>
      <c r="BV204" s="136"/>
      <c r="BW204" s="136"/>
    </row>
    <row r="205" spans="1:75">
      <c r="BK205" s="162"/>
      <c r="BL205" s="162"/>
      <c r="BM205" s="162"/>
      <c r="BN205" s="162"/>
      <c r="BO205" s="162"/>
      <c r="BP205" s="162"/>
      <c r="BQ205" s="394"/>
      <c r="BR205" s="394"/>
      <c r="BS205" s="394"/>
      <c r="BT205" s="394"/>
      <c r="BU205" s="394"/>
      <c r="BV205" s="136"/>
      <c r="BW205" s="136"/>
    </row>
    <row r="206" spans="1:75">
      <c r="BK206" s="162"/>
      <c r="BL206" s="162"/>
      <c r="BM206" s="162"/>
      <c r="BN206" s="162"/>
      <c r="BO206" s="162"/>
      <c r="BP206" s="162"/>
      <c r="BQ206" s="394"/>
      <c r="BR206" s="394"/>
      <c r="BS206" s="394"/>
      <c r="BT206" s="394"/>
      <c r="BU206" s="394"/>
      <c r="BV206" s="136"/>
      <c r="BW206" s="136"/>
    </row>
    <row r="207" spans="1:75">
      <c r="BK207" s="162"/>
      <c r="BL207" s="162"/>
      <c r="BM207" s="162"/>
      <c r="BN207" s="162"/>
      <c r="BO207" s="162"/>
      <c r="BP207" s="162"/>
      <c r="BQ207" s="394"/>
      <c r="BR207" s="394"/>
      <c r="BS207" s="394"/>
      <c r="BT207" s="394"/>
      <c r="BU207" s="394"/>
      <c r="BV207" s="136"/>
      <c r="BW207" s="136"/>
    </row>
    <row r="208" spans="1:75">
      <c r="BK208" s="162"/>
      <c r="BL208" s="162"/>
      <c r="BM208" s="162"/>
      <c r="BN208" s="162"/>
      <c r="BO208" s="162"/>
      <c r="BP208" s="162"/>
      <c r="BQ208" s="394"/>
      <c r="BR208" s="394"/>
      <c r="BS208" s="394"/>
      <c r="BT208" s="394"/>
      <c r="BU208" s="394"/>
      <c r="BV208" s="136"/>
      <c r="BW208" s="136"/>
    </row>
    <row r="209" spans="63:75">
      <c r="BK209" s="162"/>
      <c r="BL209" s="162"/>
      <c r="BM209" s="162"/>
      <c r="BN209" s="162"/>
      <c r="BO209" s="162"/>
      <c r="BP209" s="162"/>
      <c r="BQ209" s="394"/>
      <c r="BR209" s="394"/>
      <c r="BS209" s="394"/>
      <c r="BT209" s="394"/>
      <c r="BU209" s="394"/>
      <c r="BV209" s="136"/>
      <c r="BW209" s="136"/>
    </row>
    <row r="210" spans="63:75">
      <c r="BK210" s="162"/>
      <c r="BL210" s="162"/>
      <c r="BM210" s="162"/>
      <c r="BN210" s="162"/>
      <c r="BO210" s="162"/>
      <c r="BP210" s="162"/>
      <c r="BQ210" s="394"/>
      <c r="BR210" s="394"/>
      <c r="BS210" s="394"/>
      <c r="BT210" s="394"/>
      <c r="BU210" s="394"/>
      <c r="BV210" s="136"/>
      <c r="BW210" s="136"/>
    </row>
    <row r="211" spans="63:75">
      <c r="BK211" s="162"/>
      <c r="BL211" s="162"/>
      <c r="BM211" s="162"/>
      <c r="BN211" s="162"/>
      <c r="BO211" s="162"/>
      <c r="BP211" s="162"/>
      <c r="BQ211" s="394"/>
      <c r="BR211" s="394"/>
      <c r="BS211" s="394"/>
      <c r="BT211" s="394"/>
      <c r="BU211" s="394"/>
      <c r="BV211" s="136"/>
      <c r="BW211" s="136"/>
    </row>
    <row r="212" spans="63:75">
      <c r="BK212" s="162"/>
      <c r="BL212" s="162"/>
      <c r="BM212" s="162"/>
      <c r="BN212" s="162"/>
      <c r="BO212" s="162"/>
      <c r="BP212" s="162"/>
      <c r="BQ212" s="394"/>
      <c r="BR212" s="394"/>
      <c r="BS212" s="394"/>
      <c r="BT212" s="394"/>
      <c r="BU212" s="394"/>
      <c r="BV212" s="136"/>
      <c r="BW212" s="136"/>
    </row>
    <row r="213" spans="63:75">
      <c r="BK213" s="162"/>
      <c r="BL213" s="162"/>
      <c r="BM213" s="162"/>
      <c r="BN213" s="162"/>
      <c r="BO213" s="162"/>
      <c r="BP213" s="162"/>
      <c r="BQ213" s="394"/>
      <c r="BR213" s="394"/>
      <c r="BS213" s="394"/>
      <c r="BT213" s="394"/>
      <c r="BU213" s="394"/>
      <c r="BV213" s="136"/>
      <c r="BW213" s="136"/>
    </row>
    <row r="214" spans="63:75">
      <c r="BK214" s="162"/>
      <c r="BL214" s="162"/>
      <c r="BM214" s="162"/>
      <c r="BN214" s="162"/>
      <c r="BO214" s="162"/>
      <c r="BP214" s="162"/>
      <c r="BQ214" s="394"/>
      <c r="BR214" s="394"/>
      <c r="BS214" s="394"/>
      <c r="BT214" s="394"/>
      <c r="BU214" s="394"/>
      <c r="BV214" s="136"/>
      <c r="BW214" s="136"/>
    </row>
    <row r="215" spans="63:75">
      <c r="BK215" s="162"/>
      <c r="BL215" s="162"/>
      <c r="BM215" s="162"/>
      <c r="BN215" s="162"/>
      <c r="BO215" s="162"/>
      <c r="BP215" s="162"/>
      <c r="BQ215" s="394"/>
      <c r="BR215" s="394"/>
      <c r="BS215" s="394"/>
      <c r="BT215" s="394"/>
      <c r="BU215" s="394"/>
      <c r="BV215" s="136"/>
      <c r="BW215" s="136"/>
    </row>
    <row r="216" spans="63:75">
      <c r="BK216" s="162"/>
      <c r="BL216" s="162"/>
      <c r="BM216" s="162"/>
      <c r="BN216" s="162"/>
      <c r="BO216" s="162"/>
      <c r="BP216" s="162"/>
      <c r="BQ216" s="394"/>
      <c r="BR216" s="394"/>
      <c r="BS216" s="394"/>
      <c r="BT216" s="394"/>
      <c r="BU216" s="394"/>
      <c r="BV216" s="136"/>
      <c r="BW216" s="136"/>
    </row>
    <row r="217" spans="63:75">
      <c r="BK217" s="162"/>
      <c r="BL217" s="162"/>
      <c r="BM217" s="162"/>
      <c r="BN217" s="162"/>
      <c r="BO217" s="162"/>
      <c r="BP217" s="162"/>
      <c r="BQ217" s="394"/>
      <c r="BR217" s="394"/>
      <c r="BS217" s="394"/>
      <c r="BT217" s="394"/>
      <c r="BU217" s="394"/>
      <c r="BV217" s="136"/>
      <c r="BW217" s="136"/>
    </row>
    <row r="218" spans="63:75">
      <c r="BK218" s="162"/>
      <c r="BL218" s="162"/>
      <c r="BM218" s="162"/>
      <c r="BN218" s="162"/>
      <c r="BO218" s="162"/>
      <c r="BP218" s="162"/>
      <c r="BQ218" s="394"/>
      <c r="BR218" s="394"/>
      <c r="BS218" s="394"/>
      <c r="BT218" s="394"/>
      <c r="BU218" s="394"/>
      <c r="BV218" s="136"/>
      <c r="BW218" s="136"/>
    </row>
    <row r="219" spans="63:75">
      <c r="BK219" s="162"/>
      <c r="BL219" s="162"/>
      <c r="BM219" s="162"/>
      <c r="BN219" s="162"/>
      <c r="BO219" s="162"/>
      <c r="BP219" s="162"/>
      <c r="BQ219" s="394"/>
      <c r="BR219" s="394"/>
      <c r="BS219" s="394"/>
      <c r="BT219" s="394"/>
      <c r="BU219" s="394"/>
      <c r="BV219" s="136"/>
      <c r="BW219" s="136"/>
    </row>
    <row r="220" spans="63:75">
      <c r="BK220" s="162"/>
      <c r="BL220" s="162"/>
      <c r="BM220" s="162"/>
      <c r="BN220" s="162"/>
      <c r="BO220" s="162"/>
      <c r="BP220" s="162"/>
      <c r="BQ220" s="394"/>
      <c r="BR220" s="394"/>
      <c r="BS220" s="394"/>
      <c r="BT220" s="394"/>
      <c r="BU220" s="394"/>
      <c r="BV220" s="136"/>
      <c r="BW220" s="136"/>
    </row>
    <row r="221" spans="63:75">
      <c r="BK221" s="162"/>
      <c r="BL221" s="162"/>
      <c r="BM221" s="162"/>
      <c r="BN221" s="162"/>
      <c r="BO221" s="162"/>
      <c r="BP221" s="162"/>
      <c r="BQ221" s="394"/>
      <c r="BR221" s="394"/>
      <c r="BS221" s="394"/>
      <c r="BT221" s="394"/>
      <c r="BU221" s="394"/>
      <c r="BV221" s="136"/>
      <c r="BW221" s="136"/>
    </row>
    <row r="222" spans="63:75">
      <c r="BK222" s="162"/>
      <c r="BL222" s="162"/>
      <c r="BM222" s="162"/>
      <c r="BN222" s="162"/>
      <c r="BO222" s="162"/>
      <c r="BP222" s="162"/>
      <c r="BQ222" s="394"/>
      <c r="BR222" s="394"/>
      <c r="BS222" s="394"/>
      <c r="BT222" s="394"/>
      <c r="BU222" s="394"/>
      <c r="BV222" s="136"/>
      <c r="BW222" s="136"/>
    </row>
    <row r="223" spans="63:75">
      <c r="BK223" s="162"/>
      <c r="BL223" s="162"/>
      <c r="BM223" s="162"/>
      <c r="BN223" s="162"/>
      <c r="BO223" s="162"/>
      <c r="BP223" s="162"/>
      <c r="BQ223" s="394"/>
      <c r="BR223" s="394"/>
      <c r="BS223" s="394"/>
      <c r="BT223" s="394"/>
      <c r="BU223" s="394"/>
      <c r="BV223" s="136"/>
      <c r="BW223" s="136"/>
    </row>
    <row r="224" spans="63:75">
      <c r="BK224" s="162"/>
      <c r="BL224" s="162"/>
      <c r="BM224" s="162"/>
      <c r="BN224" s="162"/>
      <c r="BO224" s="162"/>
      <c r="BP224" s="162"/>
      <c r="BQ224" s="394"/>
      <c r="BR224" s="394"/>
      <c r="BS224" s="394"/>
      <c r="BT224" s="394"/>
      <c r="BU224" s="394"/>
      <c r="BV224" s="136"/>
      <c r="BW224" s="136"/>
    </row>
    <row r="225" spans="63:75">
      <c r="BK225" s="162"/>
      <c r="BL225" s="162"/>
      <c r="BM225" s="162"/>
      <c r="BN225" s="162"/>
      <c r="BO225" s="162"/>
      <c r="BP225" s="162"/>
      <c r="BQ225" s="394"/>
      <c r="BR225" s="394"/>
      <c r="BS225" s="394"/>
      <c r="BT225" s="394"/>
      <c r="BU225" s="394"/>
      <c r="BV225" s="136"/>
      <c r="BW225" s="136"/>
    </row>
    <row r="226" spans="63:75">
      <c r="BK226" s="162"/>
      <c r="BL226" s="162"/>
      <c r="BM226" s="162"/>
      <c r="BN226" s="162"/>
      <c r="BO226" s="162"/>
      <c r="BP226" s="162"/>
      <c r="BQ226" s="394"/>
      <c r="BR226" s="394"/>
      <c r="BS226" s="394"/>
      <c r="BT226" s="394"/>
      <c r="BU226" s="394"/>
      <c r="BV226" s="136"/>
      <c r="BW226" s="136"/>
    </row>
    <row r="227" spans="63:75">
      <c r="BK227" s="162"/>
      <c r="BL227" s="162"/>
      <c r="BM227" s="162"/>
      <c r="BN227" s="162"/>
      <c r="BO227" s="162"/>
      <c r="BP227" s="162"/>
      <c r="BQ227" s="394"/>
      <c r="BR227" s="394"/>
      <c r="BS227" s="394"/>
      <c r="BT227" s="394"/>
      <c r="BU227" s="394"/>
      <c r="BV227" s="136"/>
      <c r="BW227" s="136"/>
    </row>
    <row r="228" spans="63:75">
      <c r="BK228" s="162"/>
      <c r="BL228" s="162"/>
      <c r="BM228" s="162"/>
      <c r="BN228" s="162"/>
      <c r="BO228" s="162"/>
      <c r="BP228" s="162"/>
      <c r="BQ228" s="394"/>
      <c r="BR228" s="394"/>
      <c r="BS228" s="394"/>
      <c r="BT228" s="394"/>
      <c r="BU228" s="394"/>
      <c r="BV228" s="136"/>
      <c r="BW228" s="136"/>
    </row>
    <row r="229" spans="63:75">
      <c r="BK229" s="162"/>
      <c r="BL229" s="162"/>
      <c r="BM229" s="162"/>
      <c r="BN229" s="162"/>
      <c r="BO229" s="162"/>
      <c r="BP229" s="162"/>
      <c r="BQ229" s="394"/>
      <c r="BR229" s="394"/>
      <c r="BS229" s="394"/>
      <c r="BT229" s="394"/>
      <c r="BU229" s="394"/>
      <c r="BV229" s="136"/>
      <c r="BW229" s="136"/>
    </row>
    <row r="230" spans="63:75">
      <c r="BK230" s="162"/>
      <c r="BL230" s="162"/>
      <c r="BM230" s="162"/>
      <c r="BN230" s="162"/>
      <c r="BO230" s="162"/>
      <c r="BP230" s="162"/>
      <c r="BQ230" s="394"/>
      <c r="BR230" s="394"/>
      <c r="BS230" s="394"/>
      <c r="BT230" s="394"/>
      <c r="BU230" s="394"/>
      <c r="BV230" s="136"/>
      <c r="BW230" s="136"/>
    </row>
    <row r="231" spans="63:75">
      <c r="BK231" s="162"/>
      <c r="BL231" s="162"/>
      <c r="BM231" s="162"/>
      <c r="BN231" s="162"/>
      <c r="BO231" s="162"/>
      <c r="BP231" s="162"/>
      <c r="BQ231" s="394"/>
      <c r="BR231" s="394"/>
      <c r="BS231" s="394"/>
      <c r="BT231" s="394"/>
      <c r="BU231" s="394"/>
      <c r="BV231" s="136"/>
      <c r="BW231" s="136"/>
    </row>
    <row r="232" spans="63:75">
      <c r="BK232" s="162"/>
      <c r="BL232" s="162"/>
      <c r="BM232" s="162"/>
      <c r="BN232" s="162"/>
      <c r="BO232" s="162"/>
      <c r="BP232" s="162"/>
      <c r="BQ232" s="394"/>
      <c r="BR232" s="394"/>
      <c r="BS232" s="394"/>
      <c r="BT232" s="394"/>
      <c r="BU232" s="394"/>
      <c r="BV232" s="136"/>
      <c r="BW232" s="136"/>
    </row>
    <row r="233" spans="63:75">
      <c r="BK233" s="162"/>
      <c r="BL233" s="162"/>
      <c r="BM233" s="162"/>
      <c r="BN233" s="162"/>
      <c r="BO233" s="162"/>
      <c r="BP233" s="162"/>
      <c r="BQ233" s="394"/>
      <c r="BR233" s="394"/>
      <c r="BS233" s="394"/>
      <c r="BT233" s="394"/>
      <c r="BU233" s="394"/>
      <c r="BV233" s="136"/>
      <c r="BW233" s="136"/>
    </row>
    <row r="234" spans="63:75">
      <c r="BK234" s="162"/>
      <c r="BL234" s="162"/>
      <c r="BM234" s="162"/>
      <c r="BN234" s="162"/>
      <c r="BO234" s="162"/>
      <c r="BP234" s="162"/>
      <c r="BQ234" s="394"/>
      <c r="BR234" s="394"/>
      <c r="BS234" s="394"/>
      <c r="BT234" s="394"/>
      <c r="BU234" s="394"/>
      <c r="BV234" s="136"/>
      <c r="BW234" s="136"/>
    </row>
    <row r="235" spans="63:75">
      <c r="BK235" s="162"/>
      <c r="BL235" s="162"/>
      <c r="BM235" s="162"/>
      <c r="BN235" s="162"/>
      <c r="BO235" s="162"/>
      <c r="BP235" s="162"/>
      <c r="BQ235" s="394"/>
      <c r="BR235" s="394"/>
      <c r="BS235" s="394"/>
      <c r="BT235" s="394"/>
      <c r="BU235" s="394"/>
      <c r="BV235" s="136"/>
      <c r="BW235" s="136"/>
    </row>
    <row r="236" spans="63:75">
      <c r="BK236" s="162"/>
      <c r="BL236" s="162"/>
      <c r="BM236" s="162"/>
      <c r="BN236" s="162"/>
      <c r="BO236" s="162"/>
      <c r="BP236" s="162"/>
      <c r="BQ236" s="394"/>
      <c r="BR236" s="394"/>
      <c r="BS236" s="394"/>
      <c r="BT236" s="394"/>
      <c r="BU236" s="394"/>
      <c r="BV236" s="136"/>
      <c r="BW236" s="136"/>
    </row>
    <row r="237" spans="63:75">
      <c r="BK237" s="162"/>
      <c r="BL237" s="162"/>
      <c r="BM237" s="162"/>
      <c r="BN237" s="162"/>
      <c r="BO237" s="162"/>
      <c r="BP237" s="162"/>
      <c r="BQ237" s="394"/>
      <c r="BR237" s="394"/>
      <c r="BS237" s="394"/>
      <c r="BT237" s="394"/>
      <c r="BU237" s="394"/>
      <c r="BV237" s="136"/>
      <c r="BW237" s="136"/>
    </row>
    <row r="238" spans="63:75">
      <c r="BK238" s="162"/>
      <c r="BL238" s="162"/>
      <c r="BM238" s="162"/>
      <c r="BN238" s="162"/>
      <c r="BO238" s="162"/>
      <c r="BP238" s="162"/>
      <c r="BQ238" s="394"/>
      <c r="BR238" s="394"/>
      <c r="BS238" s="394"/>
      <c r="BT238" s="394"/>
      <c r="BU238" s="394"/>
      <c r="BV238" s="136"/>
      <c r="BW238" s="136"/>
    </row>
    <row r="239" spans="63:75">
      <c r="BK239" s="162"/>
      <c r="BL239" s="162"/>
      <c r="BM239" s="162"/>
      <c r="BN239" s="162"/>
      <c r="BO239" s="162"/>
      <c r="BP239" s="162"/>
      <c r="BQ239" s="394"/>
      <c r="BR239" s="394"/>
      <c r="BS239" s="394"/>
      <c r="BT239" s="394"/>
      <c r="BU239" s="394"/>
      <c r="BV239" s="136"/>
      <c r="BW239" s="136"/>
    </row>
    <row r="240" spans="63:75">
      <c r="BK240" s="162"/>
      <c r="BL240" s="162"/>
      <c r="BM240" s="162"/>
      <c r="BN240" s="162"/>
      <c r="BO240" s="162"/>
      <c r="BP240" s="162"/>
      <c r="BQ240" s="394"/>
      <c r="BR240" s="394"/>
      <c r="BS240" s="394"/>
      <c r="BT240" s="394"/>
      <c r="BU240" s="394"/>
      <c r="BV240" s="136"/>
      <c r="BW240" s="136"/>
    </row>
    <row r="241" spans="63:75">
      <c r="BK241" s="162"/>
      <c r="BL241" s="162"/>
      <c r="BM241" s="162"/>
      <c r="BN241" s="162"/>
      <c r="BO241" s="162"/>
      <c r="BP241" s="162"/>
      <c r="BQ241" s="394"/>
      <c r="BR241" s="394"/>
      <c r="BS241" s="394"/>
      <c r="BT241" s="394"/>
      <c r="BU241" s="394"/>
      <c r="BV241" s="136"/>
      <c r="BW241" s="136"/>
    </row>
    <row r="242" spans="63:75">
      <c r="BK242" s="162"/>
      <c r="BL242" s="162"/>
      <c r="BM242" s="162"/>
      <c r="BN242" s="162"/>
      <c r="BO242" s="162"/>
      <c r="BP242" s="162"/>
      <c r="BQ242" s="394"/>
      <c r="BR242" s="394"/>
      <c r="BS242" s="394"/>
      <c r="BT242" s="394"/>
      <c r="BU242" s="394"/>
      <c r="BV242" s="136"/>
      <c r="BW242" s="136"/>
    </row>
    <row r="243" spans="63:75">
      <c r="BK243" s="162"/>
      <c r="BL243" s="162"/>
      <c r="BM243" s="162"/>
      <c r="BN243" s="162"/>
      <c r="BO243" s="162"/>
      <c r="BP243" s="162"/>
      <c r="BQ243" s="394"/>
      <c r="BR243" s="394"/>
      <c r="BS243" s="394"/>
      <c r="BT243" s="394"/>
      <c r="BU243" s="394"/>
      <c r="BV243" s="136"/>
      <c r="BW243" s="136"/>
    </row>
    <row r="244" spans="63:75">
      <c r="BK244" s="162"/>
      <c r="BL244" s="162"/>
      <c r="BM244" s="162"/>
      <c r="BN244" s="162"/>
      <c r="BO244" s="162"/>
      <c r="BP244" s="162"/>
      <c r="BQ244" s="394"/>
      <c r="BR244" s="394"/>
      <c r="BS244" s="394"/>
      <c r="BT244" s="394"/>
      <c r="BU244" s="394"/>
      <c r="BV244" s="136"/>
      <c r="BW244" s="136"/>
    </row>
    <row r="245" spans="63:75">
      <c r="BK245" s="162"/>
      <c r="BL245" s="162"/>
      <c r="BM245" s="162"/>
      <c r="BN245" s="162"/>
      <c r="BO245" s="162"/>
      <c r="BP245" s="162"/>
      <c r="BQ245" s="394"/>
      <c r="BR245" s="394"/>
      <c r="BS245" s="394"/>
      <c r="BT245" s="394"/>
      <c r="BU245" s="394"/>
      <c r="BV245" s="136"/>
      <c r="BW245" s="136"/>
    </row>
    <row r="246" spans="63:75">
      <c r="BK246" s="162"/>
      <c r="BL246" s="162"/>
      <c r="BM246" s="162"/>
      <c r="BN246" s="162"/>
      <c r="BO246" s="162"/>
      <c r="BP246" s="162"/>
      <c r="BQ246" s="394"/>
      <c r="BR246" s="394"/>
      <c r="BS246" s="394"/>
      <c r="BT246" s="394"/>
      <c r="BU246" s="394"/>
      <c r="BV246" s="136"/>
      <c r="BW246" s="136"/>
    </row>
    <row r="247" spans="63:75">
      <c r="BK247" s="162"/>
      <c r="BL247" s="162"/>
      <c r="BM247" s="162"/>
      <c r="BN247" s="162"/>
      <c r="BO247" s="162"/>
      <c r="BP247" s="162"/>
      <c r="BQ247" s="394"/>
      <c r="BR247" s="394"/>
      <c r="BS247" s="394"/>
      <c r="BT247" s="394"/>
      <c r="BU247" s="394"/>
      <c r="BV247" s="136"/>
      <c r="BW247" s="136"/>
    </row>
    <row r="248" spans="63:75">
      <c r="BK248" s="162"/>
      <c r="BL248" s="162"/>
      <c r="BM248" s="162"/>
      <c r="BN248" s="162"/>
      <c r="BO248" s="162"/>
      <c r="BP248" s="162"/>
      <c r="BQ248" s="394"/>
      <c r="BR248" s="394"/>
      <c r="BS248" s="394"/>
      <c r="BT248" s="394"/>
      <c r="BU248" s="394"/>
      <c r="BV248" s="136"/>
      <c r="BW248" s="136"/>
    </row>
    <row r="249" spans="63:75">
      <c r="BK249" s="162"/>
      <c r="BL249" s="162"/>
      <c r="BM249" s="162"/>
      <c r="BN249" s="162"/>
      <c r="BO249" s="162"/>
      <c r="BP249" s="162"/>
      <c r="BQ249" s="394"/>
      <c r="BR249" s="394"/>
      <c r="BS249" s="394"/>
      <c r="BT249" s="394"/>
      <c r="BU249" s="394"/>
      <c r="BV249" s="136"/>
      <c r="BW249" s="136"/>
    </row>
    <row r="250" spans="63:75">
      <c r="BK250" s="162"/>
      <c r="BL250" s="162"/>
      <c r="BM250" s="162"/>
      <c r="BN250" s="162"/>
      <c r="BO250" s="162"/>
      <c r="BP250" s="162"/>
      <c r="BQ250" s="394"/>
      <c r="BR250" s="394"/>
      <c r="BS250" s="394"/>
      <c r="BT250" s="394"/>
      <c r="BU250" s="394"/>
      <c r="BV250" s="136"/>
      <c r="BW250" s="136"/>
    </row>
    <row r="251" spans="63:75">
      <c r="BK251" s="162"/>
      <c r="BL251" s="162"/>
      <c r="BM251" s="162"/>
      <c r="BN251" s="162"/>
      <c r="BO251" s="162"/>
      <c r="BP251" s="162"/>
      <c r="BQ251" s="394"/>
      <c r="BR251" s="394"/>
      <c r="BS251" s="394"/>
      <c r="BT251" s="394"/>
      <c r="BU251" s="394"/>
      <c r="BV251" s="136"/>
      <c r="BW251" s="136"/>
    </row>
    <row r="252" spans="63:75">
      <c r="BK252" s="162"/>
      <c r="BL252" s="162"/>
      <c r="BM252" s="162"/>
      <c r="BN252" s="162"/>
      <c r="BO252" s="162"/>
      <c r="BP252" s="162"/>
      <c r="BQ252" s="394"/>
      <c r="BR252" s="394"/>
      <c r="BS252" s="394"/>
      <c r="BT252" s="394"/>
      <c r="BU252" s="394"/>
      <c r="BV252" s="136"/>
      <c r="BW252" s="136"/>
    </row>
    <row r="253" spans="63:75">
      <c r="BK253" s="162"/>
      <c r="BL253" s="162"/>
      <c r="BM253" s="162"/>
      <c r="BN253" s="162"/>
      <c r="BO253" s="162"/>
      <c r="BP253" s="162"/>
      <c r="BQ253" s="394"/>
      <c r="BR253" s="394"/>
      <c r="BS253" s="394"/>
      <c r="BT253" s="394"/>
      <c r="BU253" s="394"/>
      <c r="BV253" s="136"/>
      <c r="BW253" s="136"/>
    </row>
    <row r="254" spans="63:75">
      <c r="BK254" s="162"/>
      <c r="BL254" s="162"/>
      <c r="BM254" s="162"/>
      <c r="BN254" s="162"/>
      <c r="BO254" s="162"/>
      <c r="BP254" s="162"/>
      <c r="BQ254" s="394"/>
      <c r="BR254" s="394"/>
      <c r="BS254" s="394"/>
      <c r="BT254" s="394"/>
      <c r="BU254" s="394"/>
      <c r="BV254" s="136"/>
      <c r="BW254" s="136"/>
    </row>
    <row r="255" spans="63:75">
      <c r="BK255" s="162"/>
      <c r="BL255" s="162"/>
      <c r="BM255" s="162"/>
      <c r="BN255" s="162"/>
      <c r="BO255" s="162"/>
      <c r="BP255" s="162"/>
      <c r="BQ255" s="394"/>
      <c r="BR255" s="394"/>
      <c r="BS255" s="394"/>
      <c r="BT255" s="394"/>
      <c r="BU255" s="394"/>
      <c r="BV255" s="136"/>
      <c r="BW255" s="136"/>
    </row>
    <row r="256" spans="63:75">
      <c r="BK256" s="162"/>
      <c r="BL256" s="162"/>
      <c r="BM256" s="162"/>
      <c r="BN256" s="162"/>
      <c r="BO256" s="162"/>
      <c r="BP256" s="162"/>
      <c r="BQ256" s="394"/>
      <c r="BR256" s="394"/>
      <c r="BS256" s="394"/>
      <c r="BT256" s="394"/>
      <c r="BU256" s="394"/>
      <c r="BV256" s="136"/>
      <c r="BW256" s="136"/>
    </row>
    <row r="257" spans="63:75">
      <c r="BK257" s="162"/>
      <c r="BL257" s="162"/>
      <c r="BM257" s="162"/>
      <c r="BN257" s="162"/>
      <c r="BO257" s="162"/>
      <c r="BP257" s="162"/>
      <c r="BQ257" s="394"/>
      <c r="BR257" s="394"/>
      <c r="BS257" s="394"/>
      <c r="BT257" s="394"/>
      <c r="BU257" s="394"/>
      <c r="BV257" s="136"/>
      <c r="BW257" s="136"/>
    </row>
    <row r="258" spans="63:75">
      <c r="BK258" s="162"/>
      <c r="BL258" s="162"/>
      <c r="BM258" s="162"/>
      <c r="BN258" s="162"/>
      <c r="BO258" s="162"/>
      <c r="BP258" s="162"/>
      <c r="BQ258" s="394"/>
      <c r="BR258" s="394"/>
      <c r="BS258" s="394"/>
      <c r="BT258" s="394"/>
      <c r="BU258" s="394"/>
      <c r="BV258" s="136"/>
      <c r="BW258" s="136"/>
    </row>
    <row r="259" spans="63:75">
      <c r="BK259" s="162"/>
      <c r="BL259" s="162"/>
      <c r="BM259" s="162"/>
      <c r="BN259" s="162"/>
      <c r="BO259" s="162"/>
      <c r="BP259" s="162"/>
      <c r="BQ259" s="394"/>
      <c r="BR259" s="394"/>
      <c r="BS259" s="394"/>
      <c r="BT259" s="394"/>
      <c r="BU259" s="394"/>
      <c r="BV259" s="136"/>
      <c r="BW259" s="136"/>
    </row>
    <row r="260" spans="63:75">
      <c r="BK260" s="162"/>
      <c r="BL260" s="162"/>
      <c r="BM260" s="162"/>
      <c r="BN260" s="162"/>
      <c r="BO260" s="162"/>
      <c r="BP260" s="162"/>
      <c r="BQ260" s="394"/>
      <c r="BR260" s="394"/>
      <c r="BS260" s="394"/>
      <c r="BT260" s="394"/>
      <c r="BU260" s="394"/>
      <c r="BV260" s="136"/>
      <c r="BW260" s="136"/>
    </row>
    <row r="261" spans="63:75">
      <c r="BK261" s="162"/>
      <c r="BL261" s="162"/>
      <c r="BM261" s="162"/>
      <c r="BN261" s="162"/>
      <c r="BO261" s="162"/>
      <c r="BP261" s="162"/>
      <c r="BQ261" s="394"/>
      <c r="BR261" s="394"/>
      <c r="BS261" s="394"/>
      <c r="BT261" s="394"/>
      <c r="BU261" s="394"/>
      <c r="BV261" s="136"/>
      <c r="BW261" s="136"/>
    </row>
    <row r="262" spans="63:75">
      <c r="BK262" s="162"/>
      <c r="BL262" s="162"/>
      <c r="BM262" s="162"/>
      <c r="BN262" s="162"/>
      <c r="BO262" s="162"/>
      <c r="BP262" s="162"/>
      <c r="BQ262" s="394"/>
      <c r="BR262" s="394"/>
      <c r="BS262" s="394"/>
      <c r="BT262" s="394"/>
      <c r="BU262" s="394"/>
      <c r="BV262" s="136"/>
      <c r="BW262" s="136"/>
    </row>
    <row r="263" spans="63:75">
      <c r="BK263" s="162"/>
      <c r="BL263" s="162"/>
      <c r="BM263" s="162"/>
      <c r="BN263" s="162"/>
      <c r="BO263" s="162"/>
      <c r="BP263" s="162"/>
      <c r="BQ263" s="394"/>
      <c r="BR263" s="394"/>
      <c r="BS263" s="394"/>
      <c r="BT263" s="394"/>
      <c r="BU263" s="394"/>
      <c r="BV263" s="136"/>
      <c r="BW263" s="136"/>
    </row>
    <row r="264" spans="63:75">
      <c r="BK264" s="162"/>
      <c r="BL264" s="162"/>
      <c r="BM264" s="162"/>
      <c r="BN264" s="162"/>
      <c r="BO264" s="162"/>
      <c r="BP264" s="162"/>
      <c r="BQ264" s="394"/>
      <c r="BR264" s="394"/>
      <c r="BS264" s="394"/>
      <c r="BT264" s="394"/>
      <c r="BU264" s="394"/>
      <c r="BV264" s="136"/>
      <c r="BW264" s="136"/>
    </row>
    <row r="265" spans="63:75">
      <c r="BK265" s="162"/>
      <c r="BL265" s="162"/>
      <c r="BM265" s="162"/>
      <c r="BN265" s="162"/>
      <c r="BO265" s="162"/>
      <c r="BP265" s="162"/>
      <c r="BQ265" s="394"/>
      <c r="BR265" s="394"/>
      <c r="BS265" s="394"/>
      <c r="BT265" s="394"/>
      <c r="BU265" s="394"/>
      <c r="BV265" s="136"/>
      <c r="BW265" s="136"/>
    </row>
    <row r="266" spans="63:75">
      <c r="BK266" s="162"/>
      <c r="BL266" s="162"/>
      <c r="BM266" s="162"/>
      <c r="BN266" s="162"/>
      <c r="BO266" s="162"/>
      <c r="BP266" s="162"/>
      <c r="BQ266" s="394"/>
      <c r="BR266" s="394"/>
      <c r="BS266" s="394"/>
      <c r="BT266" s="394"/>
      <c r="BU266" s="394"/>
      <c r="BV266" s="136"/>
      <c r="BW266" s="136"/>
    </row>
    <row r="267" spans="63:75">
      <c r="BK267" s="162"/>
      <c r="BL267" s="162"/>
      <c r="BM267" s="162"/>
      <c r="BN267" s="162"/>
      <c r="BO267" s="162"/>
      <c r="BP267" s="162"/>
      <c r="BQ267" s="394"/>
      <c r="BR267" s="394"/>
      <c r="BS267" s="394"/>
      <c r="BT267" s="394"/>
      <c r="BU267" s="394"/>
      <c r="BV267" s="136"/>
      <c r="BW267" s="136"/>
    </row>
    <row r="268" spans="63:75">
      <c r="BK268" s="162"/>
      <c r="BL268" s="162"/>
      <c r="BM268" s="162"/>
      <c r="BN268" s="162"/>
      <c r="BO268" s="162"/>
      <c r="BP268" s="162"/>
      <c r="BQ268" s="394"/>
      <c r="BR268" s="394"/>
      <c r="BS268" s="394"/>
      <c r="BT268" s="394"/>
      <c r="BU268" s="394"/>
      <c r="BV268" s="136"/>
      <c r="BW268" s="136"/>
    </row>
    <row r="269" spans="63:75">
      <c r="BK269" s="162"/>
      <c r="BL269" s="162"/>
      <c r="BM269" s="162"/>
      <c r="BN269" s="162"/>
      <c r="BO269" s="162"/>
      <c r="BP269" s="162"/>
      <c r="BQ269" s="394"/>
      <c r="BR269" s="394"/>
      <c r="BS269" s="394"/>
      <c r="BT269" s="394"/>
      <c r="BU269" s="394"/>
      <c r="BV269" s="136"/>
      <c r="BW269" s="136"/>
    </row>
    <row r="270" spans="63:75">
      <c r="BK270" s="162"/>
      <c r="BL270" s="162"/>
      <c r="BM270" s="162"/>
      <c r="BN270" s="162"/>
      <c r="BO270" s="162"/>
      <c r="BP270" s="162"/>
      <c r="BQ270" s="394"/>
      <c r="BR270" s="394"/>
      <c r="BS270" s="394"/>
      <c r="BT270" s="394"/>
      <c r="BU270" s="394"/>
      <c r="BV270" s="136"/>
      <c r="BW270" s="136"/>
    </row>
    <row r="271" spans="63:75">
      <c r="BK271" s="162"/>
      <c r="BL271" s="162"/>
      <c r="BM271" s="162"/>
      <c r="BN271" s="162"/>
      <c r="BO271" s="162"/>
      <c r="BP271" s="162"/>
      <c r="BQ271" s="394"/>
      <c r="BR271" s="394"/>
      <c r="BS271" s="394"/>
      <c r="BT271" s="394"/>
      <c r="BU271" s="394"/>
      <c r="BV271" s="136"/>
      <c r="BW271" s="136"/>
    </row>
    <row r="272" spans="63:75">
      <c r="BK272" s="162"/>
      <c r="BL272" s="162"/>
      <c r="BM272" s="162"/>
      <c r="BN272" s="162"/>
      <c r="BO272" s="162"/>
      <c r="BP272" s="162"/>
      <c r="BQ272" s="394"/>
      <c r="BR272" s="394"/>
      <c r="BS272" s="394"/>
      <c r="BT272" s="394"/>
      <c r="BU272" s="394"/>
      <c r="BV272" s="136"/>
      <c r="BW272" s="136"/>
    </row>
    <row r="273" spans="63:75">
      <c r="BK273" s="162"/>
      <c r="BL273" s="162"/>
      <c r="BM273" s="162"/>
      <c r="BN273" s="162"/>
      <c r="BO273" s="162"/>
      <c r="BP273" s="162"/>
      <c r="BQ273" s="394"/>
      <c r="BR273" s="394"/>
      <c r="BS273" s="394"/>
      <c r="BT273" s="394"/>
      <c r="BU273" s="394"/>
      <c r="BV273" s="136"/>
      <c r="BW273" s="136"/>
    </row>
    <row r="274" spans="63:75">
      <c r="BK274" s="162"/>
      <c r="BL274" s="162"/>
      <c r="BM274" s="162"/>
      <c r="BN274" s="162"/>
      <c r="BO274" s="162"/>
      <c r="BP274" s="162"/>
      <c r="BQ274" s="394"/>
      <c r="BR274" s="394"/>
      <c r="BS274" s="394"/>
      <c r="BT274" s="394"/>
      <c r="BU274" s="394"/>
      <c r="BV274" s="136"/>
      <c r="BW274" s="136"/>
    </row>
    <row r="275" spans="63:75">
      <c r="BK275" s="162"/>
      <c r="BL275" s="162"/>
      <c r="BM275" s="162"/>
      <c r="BN275" s="162"/>
      <c r="BO275" s="162"/>
      <c r="BP275" s="162"/>
      <c r="BQ275" s="394"/>
      <c r="BR275" s="394"/>
      <c r="BS275" s="394"/>
      <c r="BT275" s="394"/>
      <c r="BU275" s="394"/>
      <c r="BV275" s="136"/>
      <c r="BW275" s="136"/>
    </row>
    <row r="276" spans="63:75">
      <c r="BK276" s="162"/>
      <c r="BL276" s="162"/>
      <c r="BM276" s="162"/>
      <c r="BN276" s="162"/>
      <c r="BO276" s="162"/>
      <c r="BP276" s="162"/>
      <c r="BQ276" s="394"/>
      <c r="BR276" s="394"/>
      <c r="BS276" s="394"/>
      <c r="BT276" s="394"/>
      <c r="BU276" s="394"/>
      <c r="BV276" s="136"/>
      <c r="BW276" s="136"/>
    </row>
    <row r="277" spans="63:75">
      <c r="BK277" s="162"/>
      <c r="BL277" s="162"/>
      <c r="BM277" s="162"/>
      <c r="BN277" s="162"/>
      <c r="BO277" s="162"/>
      <c r="BP277" s="162"/>
      <c r="BQ277" s="394"/>
      <c r="BR277" s="394"/>
      <c r="BS277" s="394"/>
      <c r="BT277" s="394"/>
      <c r="BU277" s="394"/>
      <c r="BV277" s="136"/>
      <c r="BW277" s="136"/>
    </row>
    <row r="278" spans="63:75">
      <c r="BK278" s="162"/>
      <c r="BL278" s="162"/>
      <c r="BM278" s="162"/>
      <c r="BN278" s="162"/>
      <c r="BO278" s="162"/>
      <c r="BP278" s="162"/>
      <c r="BQ278" s="394"/>
      <c r="BR278" s="394"/>
      <c r="BS278" s="394"/>
      <c r="BT278" s="394"/>
      <c r="BU278" s="394"/>
      <c r="BV278" s="136"/>
      <c r="BW278" s="136"/>
    </row>
    <row r="279" spans="63:75">
      <c r="BK279" s="162"/>
      <c r="BL279" s="162"/>
      <c r="BM279" s="162"/>
      <c r="BN279" s="162"/>
      <c r="BO279" s="162"/>
      <c r="BP279" s="162"/>
      <c r="BQ279" s="394"/>
      <c r="BR279" s="394"/>
      <c r="BS279" s="394"/>
      <c r="BT279" s="394"/>
      <c r="BU279" s="394"/>
      <c r="BV279" s="136"/>
      <c r="BW279" s="136"/>
    </row>
    <row r="280" spans="63:75">
      <c r="BK280" s="162"/>
      <c r="BL280" s="162"/>
      <c r="BM280" s="162"/>
      <c r="BN280" s="162"/>
      <c r="BO280" s="162"/>
      <c r="BP280" s="162"/>
      <c r="BQ280" s="394"/>
      <c r="BR280" s="394"/>
      <c r="BS280" s="394"/>
      <c r="BT280" s="394"/>
      <c r="BU280" s="394"/>
      <c r="BV280" s="136"/>
      <c r="BW280" s="136"/>
    </row>
    <row r="281" spans="63:75">
      <c r="BK281" s="162"/>
      <c r="BL281" s="162"/>
      <c r="BM281" s="162"/>
      <c r="BN281" s="162"/>
      <c r="BO281" s="162"/>
      <c r="BP281" s="162"/>
      <c r="BQ281" s="394"/>
      <c r="BR281" s="394"/>
      <c r="BS281" s="394"/>
      <c r="BT281" s="394"/>
      <c r="BU281" s="394"/>
      <c r="BV281" s="136"/>
      <c r="BW281" s="136"/>
    </row>
    <row r="282" spans="63:75">
      <c r="BK282" s="162"/>
      <c r="BL282" s="162"/>
      <c r="BM282" s="162"/>
      <c r="BN282" s="162"/>
      <c r="BO282" s="162"/>
      <c r="BP282" s="162"/>
      <c r="BQ282" s="394"/>
      <c r="BR282" s="394"/>
      <c r="BS282" s="394"/>
      <c r="BT282" s="394"/>
      <c r="BU282" s="394"/>
      <c r="BV282" s="136"/>
      <c r="BW282" s="136"/>
    </row>
    <row r="283" spans="63:75">
      <c r="BK283" s="162"/>
      <c r="BL283" s="162"/>
      <c r="BM283" s="162"/>
      <c r="BN283" s="162"/>
      <c r="BO283" s="162"/>
      <c r="BP283" s="162"/>
      <c r="BQ283" s="394"/>
      <c r="BR283" s="394"/>
      <c r="BS283" s="394"/>
      <c r="BT283" s="394"/>
      <c r="BU283" s="394"/>
      <c r="BV283" s="136"/>
      <c r="BW283" s="13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99FF"/>
  </sheetPr>
  <dimension ref="A1:E24"/>
  <sheetViews>
    <sheetView workbookViewId="0">
      <selection activeCell="B20" sqref="B20"/>
    </sheetView>
  </sheetViews>
  <sheetFormatPr defaultRowHeight="15"/>
  <cols>
    <col min="1" max="1" width="54.42578125" customWidth="1"/>
    <col min="2" max="2" width="13.28515625" bestFit="1" customWidth="1"/>
    <col min="3" max="3" width="13.28515625" customWidth="1"/>
  </cols>
  <sheetData>
    <row r="1" spans="1:5">
      <c r="B1" t="s">
        <v>323</v>
      </c>
      <c r="C1" t="s">
        <v>507</v>
      </c>
      <c r="D1" t="s">
        <v>508</v>
      </c>
    </row>
    <row r="2" spans="1:5">
      <c r="A2" t="s">
        <v>322</v>
      </c>
      <c r="B2" s="214"/>
      <c r="C2" s="214">
        <v>0.89665496593020855</v>
      </c>
      <c r="E2" t="s">
        <v>506</v>
      </c>
    </row>
    <row r="3" spans="1:5">
      <c r="A3" s="287" t="s">
        <v>339</v>
      </c>
      <c r="B3" s="214"/>
      <c r="C3" s="214">
        <v>0.65632528047353567</v>
      </c>
      <c r="E3" t="s">
        <v>506</v>
      </c>
    </row>
    <row r="4" spans="1:5">
      <c r="A4" s="286" t="s">
        <v>324</v>
      </c>
      <c r="B4" s="214"/>
      <c r="C4" s="214">
        <v>0.51550347580700673</v>
      </c>
      <c r="E4" t="s">
        <v>506</v>
      </c>
    </row>
    <row r="5" spans="1:5">
      <c r="A5" s="286" t="s">
        <v>325</v>
      </c>
      <c r="B5" s="214"/>
      <c r="C5" s="214">
        <v>8.2989194025741619E-2</v>
      </c>
      <c r="E5" t="s">
        <v>506</v>
      </c>
    </row>
    <row r="6" spans="1:5">
      <c r="A6" s="286" t="s">
        <v>326</v>
      </c>
      <c r="B6" s="214"/>
      <c r="C6" s="214">
        <v>5.7832610640787388E-2</v>
      </c>
      <c r="E6" t="s">
        <v>506</v>
      </c>
    </row>
    <row r="7" spans="1:5">
      <c r="A7" s="287" t="s">
        <v>340</v>
      </c>
      <c r="B7" s="214"/>
      <c r="C7" s="214">
        <v>5.3737352880446003E-2</v>
      </c>
      <c r="E7" t="s">
        <v>506</v>
      </c>
    </row>
    <row r="8" spans="1:5">
      <c r="A8" s="286" t="s">
        <v>327</v>
      </c>
      <c r="B8" s="214"/>
      <c r="C8" s="214">
        <v>3.8732879069447314E-2</v>
      </c>
      <c r="E8" t="s">
        <v>506</v>
      </c>
    </row>
    <row r="9" spans="1:5">
      <c r="A9" s="286" t="s">
        <v>328</v>
      </c>
      <c r="B9" s="214"/>
      <c r="C9" s="214">
        <v>5.3857801638103105E-3</v>
      </c>
      <c r="E9" t="s">
        <v>506</v>
      </c>
    </row>
    <row r="10" spans="1:5">
      <c r="A10" s="286" t="s">
        <v>329</v>
      </c>
      <c r="B10" s="214">
        <v>0</v>
      </c>
      <c r="C10" s="214">
        <v>9.6186936471883821E-3</v>
      </c>
      <c r="E10" t="s">
        <v>505</v>
      </c>
    </row>
    <row r="11" spans="1:5">
      <c r="A11" s="287" t="s">
        <v>341</v>
      </c>
      <c r="B11" s="214"/>
      <c r="C11" s="214">
        <v>4.3740105994906742E-2</v>
      </c>
      <c r="E11" t="s">
        <v>506</v>
      </c>
    </row>
    <row r="12" spans="1:5">
      <c r="A12" s="286" t="s">
        <v>330</v>
      </c>
      <c r="B12" s="214">
        <v>2.9768050106683186E-3</v>
      </c>
      <c r="C12" s="214">
        <v>2.9768050106683186E-3</v>
      </c>
      <c r="D12" s="181">
        <v>3.0000000000000001E-3</v>
      </c>
    </row>
    <row r="13" spans="1:5">
      <c r="A13" s="286" t="s">
        <v>331</v>
      </c>
      <c r="B13" s="214"/>
      <c r="C13" s="214">
        <v>3.561841833574231E-3</v>
      </c>
      <c r="D13" s="213">
        <v>0</v>
      </c>
      <c r="E13" t="s">
        <v>506</v>
      </c>
    </row>
    <row r="14" spans="1:5">
      <c r="A14" s="286" t="s">
        <v>332</v>
      </c>
      <c r="B14" s="285">
        <v>1.7000000000000001E-2</v>
      </c>
      <c r="C14" s="285">
        <v>2.0699979351641546E-2</v>
      </c>
      <c r="D14" s="181">
        <v>1.7000000000000001E-2</v>
      </c>
    </row>
    <row r="15" spans="1:5">
      <c r="A15" s="286" t="s">
        <v>333</v>
      </c>
      <c r="B15" s="214">
        <v>0</v>
      </c>
      <c r="C15" s="214">
        <v>4.921192098561498E-3</v>
      </c>
      <c r="D15" s="213">
        <v>0</v>
      </c>
    </row>
    <row r="16" spans="1:5">
      <c r="A16" s="286" t="s">
        <v>334</v>
      </c>
      <c r="B16" s="285">
        <v>2E-3</v>
      </c>
      <c r="C16" s="285">
        <v>5.7643334021611949E-3</v>
      </c>
      <c r="D16" s="181">
        <v>2E-3</v>
      </c>
    </row>
    <row r="17" spans="1:5">
      <c r="A17" s="286" t="s">
        <v>335</v>
      </c>
      <c r="B17" s="214">
        <v>5.8159542982999515E-3</v>
      </c>
      <c r="C17" s="214">
        <v>5.8159542982999515E-3</v>
      </c>
    </row>
    <row r="18" spans="1:5">
      <c r="A18" s="287" t="s">
        <v>342</v>
      </c>
      <c r="B18" s="214"/>
      <c r="C18" s="214">
        <v>0.14285222658132013</v>
      </c>
      <c r="E18" t="s">
        <v>506</v>
      </c>
    </row>
    <row r="19" spans="1:5">
      <c r="A19" s="286" t="s">
        <v>336</v>
      </c>
      <c r="B19" s="214">
        <v>0</v>
      </c>
      <c r="C19" s="214">
        <v>1.2440635969440429E-2</v>
      </c>
    </row>
    <row r="20" spans="1:5">
      <c r="A20" s="286" t="s">
        <v>337</v>
      </c>
      <c r="B20" s="214">
        <v>6.4181980865854497E-3</v>
      </c>
      <c r="C20" s="214">
        <v>6.4181980865854497E-3</v>
      </c>
    </row>
    <row r="21" spans="1:5">
      <c r="A21" s="286" t="s">
        <v>338</v>
      </c>
      <c r="B21" s="214">
        <v>2.9000000000000001E-2</v>
      </c>
      <c r="C21" s="214">
        <v>0.12399339252529423</v>
      </c>
      <c r="D21" s="181">
        <v>2.9000000000000001E-2</v>
      </c>
    </row>
    <row r="24" spans="1:5">
      <c r="A24" t="s">
        <v>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5:BW36"/>
  <sheetViews>
    <sheetView workbookViewId="0">
      <selection activeCell="A10" sqref="A10"/>
    </sheetView>
  </sheetViews>
  <sheetFormatPr defaultRowHeight="15"/>
  <cols>
    <col min="2" max="2" width="19.5703125" bestFit="1" customWidth="1"/>
  </cols>
  <sheetData>
    <row r="5" spans="2:75">
      <c r="B5" s="291" t="s">
        <v>354</v>
      </c>
      <c r="C5" s="292" t="s">
        <v>355</v>
      </c>
      <c r="D5" s="293" t="s">
        <v>356</v>
      </c>
      <c r="E5" s="294"/>
      <c r="F5" s="288"/>
      <c r="G5" s="295" t="s">
        <v>357</v>
      </c>
      <c r="H5" s="296" t="s">
        <v>37</v>
      </c>
      <c r="I5" s="288"/>
      <c r="J5" s="288"/>
      <c r="K5" s="288"/>
      <c r="L5" s="288"/>
      <c r="M5" s="288"/>
      <c r="N5" s="288"/>
      <c r="O5" s="288"/>
      <c r="P5" s="288"/>
      <c r="Q5" s="288"/>
      <c r="R5" s="288"/>
    </row>
    <row r="6" spans="2:75">
      <c r="B6" s="297" t="s">
        <v>358</v>
      </c>
      <c r="C6" s="298">
        <f>'Data Entry'!D98</f>
        <v>200000</v>
      </c>
      <c r="D6" s="299"/>
      <c r="E6" s="300"/>
      <c r="F6" s="288"/>
      <c r="G6" s="288"/>
      <c r="H6" s="288"/>
      <c r="I6" s="288"/>
      <c r="J6" s="288"/>
      <c r="K6" s="288"/>
      <c r="L6" s="288"/>
      <c r="M6" s="288"/>
      <c r="N6" s="288"/>
      <c r="O6" s="288"/>
      <c r="P6" s="288"/>
      <c r="Q6" s="288"/>
      <c r="R6" s="288"/>
    </row>
    <row r="7" spans="2:75">
      <c r="B7" s="297" t="s">
        <v>359</v>
      </c>
      <c r="C7" s="301">
        <f>'Data Entry'!D99/12</f>
        <v>5.0000000000000001E-3</v>
      </c>
      <c r="D7" s="302">
        <f>C7*12</f>
        <v>0.06</v>
      </c>
      <c r="E7" s="303"/>
      <c r="F7" s="288"/>
      <c r="G7" s="288"/>
      <c r="H7" s="288"/>
      <c r="I7" s="288"/>
      <c r="J7" s="288"/>
      <c r="K7" s="288"/>
      <c r="L7" s="288"/>
      <c r="M7" s="288"/>
      <c r="N7" s="288"/>
      <c r="O7" s="288"/>
      <c r="P7" s="288"/>
      <c r="Q7" s="288"/>
      <c r="R7" s="288"/>
    </row>
    <row r="8" spans="2:75">
      <c r="B8" s="304" t="s">
        <v>360</v>
      </c>
      <c r="C8" s="305">
        <f>'Data Entry'!D100*12</f>
        <v>60</v>
      </c>
      <c r="D8" s="306">
        <f>C8/12</f>
        <v>5</v>
      </c>
      <c r="E8" s="300" t="s">
        <v>487</v>
      </c>
      <c r="F8" s="288"/>
      <c r="G8" s="288"/>
      <c r="H8" s="288"/>
      <c r="I8" s="288"/>
      <c r="J8" s="288"/>
      <c r="K8" s="288"/>
      <c r="L8" s="288"/>
      <c r="M8" s="288"/>
      <c r="N8" s="288"/>
      <c r="O8" s="288"/>
      <c r="P8" s="288"/>
      <c r="Q8" s="288"/>
      <c r="R8" s="288"/>
    </row>
    <row r="9" spans="2:75">
      <c r="B9" s="288"/>
      <c r="C9" s="307"/>
      <c r="D9" s="288"/>
      <c r="E9" s="288"/>
      <c r="F9" s="288"/>
      <c r="G9" s="288"/>
      <c r="H9" s="288"/>
      <c r="I9" s="288"/>
      <c r="J9" s="308"/>
      <c r="K9" s="288"/>
      <c r="L9" s="288"/>
      <c r="M9" s="288"/>
      <c r="N9" s="288"/>
      <c r="O9" s="288"/>
      <c r="P9" s="288"/>
      <c r="Q9" s="288"/>
      <c r="R9" s="288"/>
    </row>
    <row r="10" spans="2:75">
      <c r="B10" s="309" t="s">
        <v>361</v>
      </c>
      <c r="C10" s="307">
        <v>0</v>
      </c>
      <c r="D10" s="310" t="s">
        <v>37</v>
      </c>
      <c r="E10" s="310" t="s">
        <v>38</v>
      </c>
      <c r="F10" s="310" t="s">
        <v>39</v>
      </c>
      <c r="G10" s="310" t="s">
        <v>40</v>
      </c>
      <c r="H10" s="310" t="s">
        <v>41</v>
      </c>
      <c r="I10" s="310" t="s">
        <v>42</v>
      </c>
      <c r="J10" s="310" t="s">
        <v>43</v>
      </c>
      <c r="K10" s="310" t="s">
        <v>44</v>
      </c>
      <c r="L10" s="310" t="s">
        <v>45</v>
      </c>
      <c r="M10" s="310" t="s">
        <v>46</v>
      </c>
      <c r="N10" s="310" t="s">
        <v>47</v>
      </c>
      <c r="O10" s="310" t="s">
        <v>48</v>
      </c>
      <c r="P10" s="310" t="s">
        <v>371</v>
      </c>
      <c r="Q10" s="310" t="s">
        <v>372</v>
      </c>
      <c r="R10" s="310" t="s">
        <v>373</v>
      </c>
      <c r="S10" s="310" t="s">
        <v>374</v>
      </c>
      <c r="T10" s="310" t="s">
        <v>375</v>
      </c>
      <c r="U10" s="310" t="s">
        <v>376</v>
      </c>
      <c r="V10" s="310" t="s">
        <v>377</v>
      </c>
      <c r="W10" s="310" t="s">
        <v>378</v>
      </c>
      <c r="X10" s="310" t="s">
        <v>379</v>
      </c>
      <c r="Y10" s="310" t="s">
        <v>380</v>
      </c>
      <c r="Z10" s="310" t="s">
        <v>381</v>
      </c>
      <c r="AA10" s="310" t="s">
        <v>382</v>
      </c>
      <c r="AB10" s="310" t="s">
        <v>383</v>
      </c>
      <c r="AC10" s="310" t="s">
        <v>384</v>
      </c>
      <c r="AD10" s="310" t="s">
        <v>385</v>
      </c>
      <c r="AE10" s="310" t="s">
        <v>386</v>
      </c>
      <c r="AF10" s="310" t="s">
        <v>387</v>
      </c>
      <c r="AG10" s="310" t="s">
        <v>388</v>
      </c>
      <c r="AH10" s="310" t="s">
        <v>389</v>
      </c>
      <c r="AI10" s="310" t="s">
        <v>390</v>
      </c>
      <c r="AJ10" s="310" t="s">
        <v>391</v>
      </c>
      <c r="AK10" s="310" t="s">
        <v>392</v>
      </c>
      <c r="AL10" s="310" t="s">
        <v>393</v>
      </c>
      <c r="AM10" s="310" t="s">
        <v>394</v>
      </c>
      <c r="AN10" s="310" t="s">
        <v>395</v>
      </c>
      <c r="AO10" s="310" t="s">
        <v>396</v>
      </c>
      <c r="AP10" s="310" t="s">
        <v>397</v>
      </c>
      <c r="AQ10" s="310" t="s">
        <v>398</v>
      </c>
      <c r="AR10" s="310" t="s">
        <v>399</v>
      </c>
      <c r="AS10" s="310" t="s">
        <v>400</v>
      </c>
      <c r="AT10" s="310" t="s">
        <v>401</v>
      </c>
      <c r="AU10" s="310" t="s">
        <v>402</v>
      </c>
      <c r="AV10" s="310" t="s">
        <v>403</v>
      </c>
      <c r="AW10" s="310" t="s">
        <v>404</v>
      </c>
      <c r="AX10" s="310" t="s">
        <v>405</v>
      </c>
      <c r="AY10" s="310" t="s">
        <v>406</v>
      </c>
      <c r="AZ10" s="310" t="s">
        <v>407</v>
      </c>
      <c r="BA10" s="310" t="s">
        <v>408</v>
      </c>
      <c r="BB10" s="310" t="s">
        <v>409</v>
      </c>
      <c r="BC10" s="310" t="s">
        <v>410</v>
      </c>
      <c r="BD10" s="310" t="s">
        <v>411</v>
      </c>
      <c r="BE10" s="310" t="s">
        <v>412</v>
      </c>
      <c r="BF10" s="310" t="s">
        <v>413</v>
      </c>
      <c r="BG10" s="310" t="s">
        <v>414</v>
      </c>
      <c r="BH10" s="310" t="s">
        <v>415</v>
      </c>
      <c r="BI10" s="310" t="s">
        <v>416</v>
      </c>
      <c r="BJ10" s="310" t="s">
        <v>417</v>
      </c>
      <c r="BK10" s="310" t="s">
        <v>418</v>
      </c>
      <c r="BL10" s="310"/>
      <c r="BM10" s="310"/>
      <c r="BN10" s="310"/>
      <c r="BO10" s="310"/>
      <c r="BP10" s="310"/>
      <c r="BQ10" s="310"/>
      <c r="BR10" s="310"/>
      <c r="BS10" s="310"/>
      <c r="BT10" s="310"/>
      <c r="BU10" s="310"/>
      <c r="BV10" s="310"/>
      <c r="BW10" s="310"/>
    </row>
    <row r="11" spans="2:75">
      <c r="B11" s="288"/>
      <c r="C11" s="307">
        <v>0</v>
      </c>
      <c r="D11" s="307">
        <f>IF(D10=H5,1,IF(C11&gt;0,C11+1,0))</f>
        <v>1</v>
      </c>
      <c r="E11" s="307">
        <f>IF(E10=H5,1,IF(D11&gt;0,D11+1,0))</f>
        <v>2</v>
      </c>
      <c r="F11" s="307">
        <f>IF(F10=H5,1,IF(E11&gt;0,E11+1,0))</f>
        <v>3</v>
      </c>
      <c r="G11" s="307">
        <f>IF(G10=H5,1,IF(F11&gt;0,F11+1,0))</f>
        <v>4</v>
      </c>
      <c r="H11" s="307">
        <f>IF(H10=H5,1,IF(G11&gt;0,G11+1,0))</f>
        <v>5</v>
      </c>
      <c r="I11" s="307">
        <f>IF(I10=H5,1,IF(H11&gt;0,H11+1,0))</f>
        <v>6</v>
      </c>
      <c r="J11" s="307">
        <f>IF(J10=H5,1,IF(I11&gt;0,I11+1,0))</f>
        <v>7</v>
      </c>
      <c r="K11" s="307">
        <f>IF(K10=H5,1,IF(J11&gt;0,J11+1,0))</f>
        <v>8</v>
      </c>
      <c r="L11" s="307">
        <f>IF(L10=H5,1,IF(K11&gt;0,K11+1,0))</f>
        <v>9</v>
      </c>
      <c r="M11" s="307">
        <f>IF(M10=H5,1,IF(L11&gt;0,L11+1,0))</f>
        <v>10</v>
      </c>
      <c r="N11" s="307">
        <f>IF(N10=H5,1,IF(M11&gt;0,M11+1,0))</f>
        <v>11</v>
      </c>
      <c r="O11" s="307">
        <f>IF(O10=H5,1,IF(N11&gt;0,N11+1,0))</f>
        <v>12</v>
      </c>
      <c r="P11" s="307">
        <f>IF(P10=H5,1,IF(O11&gt;0,O11+1,0))</f>
        <v>13</v>
      </c>
      <c r="Q11" s="307">
        <f>IF(Q10=H5,1,IF(P11&gt;0,P11+1,0))</f>
        <v>14</v>
      </c>
      <c r="R11" s="307">
        <f>IF(R10=H5,1,IF(Q11&gt;0,Q11+1,0))</f>
        <v>15</v>
      </c>
      <c r="S11" s="307">
        <f t="shared" ref="S11" si="0">IF(S10=W5,1,IF(R11&gt;0,R11+1,0))</f>
        <v>16</v>
      </c>
      <c r="T11" s="307">
        <f t="shared" ref="T11" si="1">IF(T10=W5,1,IF(S11&gt;0,S11+1,0))</f>
        <v>17</v>
      </c>
      <c r="U11" s="307">
        <f t="shared" ref="U11" si="2">IF(U10=W5,1,IF(T11&gt;0,T11+1,0))</f>
        <v>18</v>
      </c>
      <c r="V11" s="307">
        <f t="shared" ref="V11" si="3">IF(V10=W5,1,IF(U11&gt;0,U11+1,0))</f>
        <v>19</v>
      </c>
      <c r="W11" s="307">
        <f t="shared" ref="W11" si="4">IF(W10=W5,1,IF(V11&gt;0,V11+1,0))</f>
        <v>20</v>
      </c>
      <c r="X11" s="307">
        <f t="shared" ref="X11" si="5">IF(X10=W5,1,IF(W11&gt;0,W11+1,0))</f>
        <v>21</v>
      </c>
      <c r="Y11" s="307">
        <f t="shared" ref="Y11" si="6">IF(Y10=W5,1,IF(X11&gt;0,X11+1,0))</f>
        <v>22</v>
      </c>
      <c r="Z11" s="307">
        <f t="shared" ref="Z11" si="7">IF(Z10=W5,1,IF(Y11&gt;0,Y11+1,0))</f>
        <v>23</v>
      </c>
      <c r="AA11" s="307">
        <f t="shared" ref="AA11" si="8">IF(AA10=W5,1,IF(Z11&gt;0,Z11+1,0))</f>
        <v>24</v>
      </c>
      <c r="AB11" s="307">
        <f t="shared" ref="AB11" si="9">IF(AB10=W5,1,IF(AA11&gt;0,AA11+1,0))</f>
        <v>25</v>
      </c>
      <c r="AC11" s="307">
        <f t="shared" ref="AC11" si="10">IF(AC10=W5,1,IF(AB11&gt;0,AB11+1,0))</f>
        <v>26</v>
      </c>
      <c r="AD11" s="307">
        <f t="shared" ref="AD11" si="11">IF(AD10=W5,1,IF(AC11&gt;0,AC11+1,0))</f>
        <v>27</v>
      </c>
      <c r="AE11" s="307">
        <f t="shared" ref="AE11" si="12">IF(AE10=W5,1,IF(AD11&gt;0,AD11+1,0))</f>
        <v>28</v>
      </c>
      <c r="AF11" s="307">
        <f t="shared" ref="AF11" si="13">IF(AF10=W5,1,IF(AE11&gt;0,AE11+1,0))</f>
        <v>29</v>
      </c>
      <c r="AG11" s="307">
        <f t="shared" ref="AG11" si="14">IF(AG10=W5,1,IF(AF11&gt;0,AF11+1,0))</f>
        <v>30</v>
      </c>
      <c r="AH11" s="307">
        <f t="shared" ref="AH11" si="15">IF(AH10=AL5,1,IF(AG11&gt;0,AG11+1,0))</f>
        <v>31</v>
      </c>
      <c r="AI11" s="307">
        <f t="shared" ref="AI11" si="16">IF(AI10=AL5,1,IF(AH11&gt;0,AH11+1,0))</f>
        <v>32</v>
      </c>
      <c r="AJ11" s="307">
        <f t="shared" ref="AJ11" si="17">IF(AJ10=AL5,1,IF(AI11&gt;0,AI11+1,0))</f>
        <v>33</v>
      </c>
      <c r="AK11" s="307">
        <f t="shared" ref="AK11" si="18">IF(AK10=AL5,1,IF(AJ11&gt;0,AJ11+1,0))</f>
        <v>34</v>
      </c>
      <c r="AL11" s="307">
        <f t="shared" ref="AL11" si="19">IF(AL10=AL5,1,IF(AK11&gt;0,AK11+1,0))</f>
        <v>35</v>
      </c>
      <c r="AM11" s="307">
        <f t="shared" ref="AM11" si="20">IF(AM10=AL5,1,IF(AL11&gt;0,AL11+1,0))</f>
        <v>36</v>
      </c>
      <c r="AN11" s="307">
        <f t="shared" ref="AN11" si="21">IF(AN10=AL5,1,IF(AM11&gt;0,AM11+1,0))</f>
        <v>37</v>
      </c>
      <c r="AO11" s="307">
        <f t="shared" ref="AO11" si="22">IF(AO10=AL5,1,IF(AN11&gt;0,AN11+1,0))</f>
        <v>38</v>
      </c>
      <c r="AP11" s="307">
        <f t="shared" ref="AP11" si="23">IF(AP10=AL5,1,IF(AO11&gt;0,AO11+1,0))</f>
        <v>39</v>
      </c>
      <c r="AQ11" s="307">
        <f t="shared" ref="AQ11" si="24">IF(AQ10=AL5,1,IF(AP11&gt;0,AP11+1,0))</f>
        <v>40</v>
      </c>
      <c r="AR11" s="307">
        <f t="shared" ref="AR11" si="25">IF(AR10=AL5,1,IF(AQ11&gt;0,AQ11+1,0))</f>
        <v>41</v>
      </c>
      <c r="AS11" s="307">
        <f t="shared" ref="AS11" si="26">IF(AS10=AL5,1,IF(AR11&gt;0,AR11+1,0))</f>
        <v>42</v>
      </c>
      <c r="AT11" s="307">
        <f t="shared" ref="AT11" si="27">IF(AT10=AL5,1,IF(AS11&gt;0,AS11+1,0))</f>
        <v>43</v>
      </c>
      <c r="AU11" s="307">
        <f t="shared" ref="AU11" si="28">IF(AU10=AL5,1,IF(AT11&gt;0,AT11+1,0))</f>
        <v>44</v>
      </c>
      <c r="AV11" s="307">
        <f t="shared" ref="AV11" si="29">IF(AV10=AL5,1,IF(AU11&gt;0,AU11+1,0))</f>
        <v>45</v>
      </c>
      <c r="AW11" s="307">
        <f t="shared" ref="AW11" si="30">IF(AW10=BA5,1,IF(AV11&gt;0,AV11+1,0))</f>
        <v>46</v>
      </c>
      <c r="AX11" s="307">
        <f t="shared" ref="AX11" si="31">IF(AX10=BA5,1,IF(AW11&gt;0,AW11+1,0))</f>
        <v>47</v>
      </c>
      <c r="AY11" s="307">
        <f t="shared" ref="AY11" si="32">IF(AY10=BA5,1,IF(AX11&gt;0,AX11+1,0))</f>
        <v>48</v>
      </c>
      <c r="AZ11" s="307">
        <f t="shared" ref="AZ11" si="33">IF(AZ10=BA5,1,IF(AY11&gt;0,AY11+1,0))</f>
        <v>49</v>
      </c>
      <c r="BA11" s="307">
        <f t="shared" ref="BA11" si="34">IF(BA10=BA5,1,IF(AZ11&gt;0,AZ11+1,0))</f>
        <v>50</v>
      </c>
      <c r="BB11" s="307">
        <f t="shared" ref="BB11" si="35">IF(BB10=BA5,1,IF(BA11&gt;0,BA11+1,0))</f>
        <v>51</v>
      </c>
      <c r="BC11" s="307">
        <f t="shared" ref="BC11" si="36">IF(BC10=BA5,1,IF(BB11&gt;0,BB11+1,0))</f>
        <v>52</v>
      </c>
      <c r="BD11" s="307">
        <f t="shared" ref="BD11" si="37">IF(BD10=BA5,1,IF(BC11&gt;0,BC11+1,0))</f>
        <v>53</v>
      </c>
      <c r="BE11" s="307">
        <f t="shared" ref="BE11" si="38">IF(BE10=BA5,1,IF(BD11&gt;0,BD11+1,0))</f>
        <v>54</v>
      </c>
      <c r="BF11" s="307">
        <f t="shared" ref="BF11" si="39">IF(BF10=BA5,1,IF(BE11&gt;0,BE11+1,0))</f>
        <v>55</v>
      </c>
      <c r="BG11" s="307">
        <f t="shared" ref="BG11" si="40">IF(BG10=BA5,1,IF(BF11&gt;0,BF11+1,0))</f>
        <v>56</v>
      </c>
      <c r="BH11" s="307">
        <f t="shared" ref="BH11" si="41">IF(BH10=BA5,1,IF(BG11&gt;0,BG11+1,0))</f>
        <v>57</v>
      </c>
      <c r="BI11" s="307">
        <f t="shared" ref="BI11" si="42">IF(BI10=BA5,1,IF(BH11&gt;0,BH11+1,0))</f>
        <v>58</v>
      </c>
      <c r="BJ11" s="307">
        <f t="shared" ref="BJ11" si="43">IF(BJ10=BA5,1,IF(BI11&gt;0,BI11+1,0))</f>
        <v>59</v>
      </c>
      <c r="BK11" s="307">
        <f t="shared" ref="BK11" si="44">IF(BK10=BA5,1,IF(BJ11&gt;0,BJ11+1,0))</f>
        <v>60</v>
      </c>
      <c r="BL11" s="307"/>
      <c r="BM11" s="307"/>
      <c r="BN11" s="307"/>
      <c r="BO11" s="307"/>
      <c r="BP11" s="307"/>
      <c r="BQ11" s="307"/>
      <c r="BR11" s="307"/>
      <c r="BS11" s="307"/>
      <c r="BT11" s="307"/>
      <c r="BU11" s="307"/>
      <c r="BV11" s="307"/>
      <c r="BW11" s="307"/>
    </row>
    <row r="12" spans="2:75">
      <c r="B12" s="288" t="s">
        <v>362</v>
      </c>
      <c r="C12" s="288">
        <v>0</v>
      </c>
      <c r="D12" s="288">
        <f>IF(D11=1,C6,C16)</f>
        <v>200000</v>
      </c>
      <c r="E12" s="288">
        <f>IF(E11=1,C6,D16)</f>
        <v>197133.43969411441</v>
      </c>
      <c r="F12" s="288">
        <f>IF(F11=1,C6,E16)</f>
        <v>194252.54658669941</v>
      </c>
      <c r="G12" s="288">
        <f>IF(G11=1,C6,F16)</f>
        <v>191357.24901374732</v>
      </c>
      <c r="H12" s="288">
        <f>IF(H11=1,C6,G16)</f>
        <v>188447.47495293047</v>
      </c>
      <c r="I12" s="288">
        <f>IF(I11=1,C6,H16)</f>
        <v>185523.15202180954</v>
      </c>
      <c r="J12" s="288">
        <f>IF(J11=1,C6,I16)</f>
        <v>182584.20747603301</v>
      </c>
      <c r="K12" s="288">
        <f>IF(K11=1,C6,J16)</f>
        <v>179630.5682075276</v>
      </c>
      <c r="L12" s="288">
        <f>IF(L11=1,C6,K16)</f>
        <v>176662.16074267964</v>
      </c>
      <c r="M12" s="288">
        <f>IF(M11=1,C6,L16)</f>
        <v>173678.91124050744</v>
      </c>
      <c r="N12" s="288">
        <f>IF(N11=1,C6,M16)</f>
        <v>170680.7454908244</v>
      </c>
      <c r="O12" s="288">
        <f>IF(O11=1,C6,N16)</f>
        <v>167667.58891239294</v>
      </c>
      <c r="P12" s="288">
        <f>IF(P11=1,C6,O16)</f>
        <v>164639.36655106931</v>
      </c>
      <c r="Q12" s="288">
        <f>IF(Q11=1,C6,P16)</f>
        <v>161596.00307793907</v>
      </c>
      <c r="R12" s="288">
        <f>IF(R11=1,C6,Q16)</f>
        <v>158537.42278744318</v>
      </c>
      <c r="S12" s="288">
        <f t="shared" ref="S12:BK12" si="45">IF(S11=1,D6,R16)</f>
        <v>155463.54959549481</v>
      </c>
      <c r="T12" s="288">
        <f t="shared" si="45"/>
        <v>152374.3070375867</v>
      </c>
      <c r="U12" s="288">
        <f t="shared" si="45"/>
        <v>149269.61826688904</v>
      </c>
      <c r="V12" s="288">
        <f t="shared" si="45"/>
        <v>146149.4060523379</v>
      </c>
      <c r="W12" s="288">
        <f t="shared" si="45"/>
        <v>143013.59277671401</v>
      </c>
      <c r="X12" s="288">
        <f t="shared" si="45"/>
        <v>139862.10043471199</v>
      </c>
      <c r="Y12" s="288">
        <f t="shared" si="45"/>
        <v>136694.85063099998</v>
      </c>
      <c r="Z12" s="288">
        <f t="shared" si="45"/>
        <v>133511.76457826939</v>
      </c>
      <c r="AA12" s="288">
        <f t="shared" si="45"/>
        <v>130312.76309527515</v>
      </c>
      <c r="AB12" s="288">
        <f t="shared" si="45"/>
        <v>127097.76660486594</v>
      </c>
      <c r="AC12" s="288">
        <f t="shared" si="45"/>
        <v>123866.69513200469</v>
      </c>
      <c r="AD12" s="288">
        <f t="shared" si="45"/>
        <v>120619.46830177914</v>
      </c>
      <c r="AE12" s="288">
        <f t="shared" si="45"/>
        <v>117356.00533740246</v>
      </c>
      <c r="AF12" s="288">
        <f t="shared" si="45"/>
        <v>114076.22505820388</v>
      </c>
      <c r="AG12" s="288">
        <f t="shared" si="45"/>
        <v>110780.04587760931</v>
      </c>
      <c r="AH12" s="288">
        <f t="shared" si="45"/>
        <v>107467.38580111178</v>
      </c>
      <c r="AI12" s="288">
        <f t="shared" si="45"/>
        <v>104138.16242423176</v>
      </c>
      <c r="AJ12" s="288">
        <f t="shared" si="45"/>
        <v>100792.29293046735</v>
      </c>
      <c r="AK12" s="288">
        <f t="shared" si="45"/>
        <v>97429.694089234094</v>
      </c>
      <c r="AL12" s="288">
        <f t="shared" si="45"/>
        <v>94050.282253794678</v>
      </c>
      <c r="AM12" s="288">
        <f t="shared" si="45"/>
        <v>90653.973359178068</v>
      </c>
      <c r="AN12" s="288">
        <f t="shared" si="45"/>
        <v>87240.68292008838</v>
      </c>
      <c r="AO12" s="288">
        <f t="shared" si="45"/>
        <v>83810.326028803232</v>
      </c>
      <c r="AP12" s="288">
        <f t="shared" si="45"/>
        <v>80362.817353061662</v>
      </c>
      <c r="AQ12" s="288">
        <f t="shared" si="45"/>
        <v>76898.071133941383</v>
      </c>
      <c r="AR12" s="288">
        <f t="shared" si="45"/>
        <v>73416.001183725501</v>
      </c>
      <c r="AS12" s="288">
        <f t="shared" si="45"/>
        <v>69916.520883758552</v>
      </c>
      <c r="AT12" s="288">
        <f t="shared" si="45"/>
        <v>66399.54318229176</v>
      </c>
      <c r="AU12" s="288">
        <f t="shared" si="45"/>
        <v>62864.980592317639</v>
      </c>
      <c r="AV12" s="288">
        <f t="shared" si="45"/>
        <v>59312.745189393645</v>
      </c>
      <c r="AW12" s="288">
        <f t="shared" si="45"/>
        <v>55742.748609455033</v>
      </c>
      <c r="AX12" s="288">
        <f t="shared" si="45"/>
        <v>52154.902046616728</v>
      </c>
      <c r="AY12" s="288">
        <f t="shared" si="45"/>
        <v>48549.116250964231</v>
      </c>
      <c r="AZ12" s="288">
        <f t="shared" si="45"/>
        <v>44925.301526333467</v>
      </c>
      <c r="BA12" s="288">
        <f t="shared" si="45"/>
        <v>41283.367728079553</v>
      </c>
      <c r="BB12" s="288">
        <f t="shared" si="45"/>
        <v>37623.224260834366</v>
      </c>
      <c r="BC12" s="288">
        <f t="shared" si="45"/>
        <v>33944.780076252951</v>
      </c>
      <c r="BD12" s="288">
        <f t="shared" si="45"/>
        <v>30247.943670748635</v>
      </c>
      <c r="BE12" s="288">
        <f t="shared" si="45"/>
        <v>26532.623083216793</v>
      </c>
      <c r="BF12" s="288">
        <f t="shared" si="45"/>
        <v>22798.725892747294</v>
      </c>
      <c r="BG12" s="288">
        <f t="shared" si="45"/>
        <v>19046.159216325446</v>
      </c>
      <c r="BH12" s="288">
        <f t="shared" si="45"/>
        <v>15274.82970652149</v>
      </c>
      <c r="BI12" s="288">
        <f t="shared" si="45"/>
        <v>11484.643549168515</v>
      </c>
      <c r="BJ12" s="288">
        <f t="shared" si="45"/>
        <v>7675.5064610287745</v>
      </c>
      <c r="BK12" s="288">
        <f t="shared" si="45"/>
        <v>3847.323687448335</v>
      </c>
      <c r="BL12" s="288"/>
      <c r="BM12" s="288"/>
      <c r="BN12" s="288"/>
      <c r="BO12" s="288"/>
      <c r="BP12" s="288"/>
      <c r="BQ12" s="288"/>
      <c r="BR12" s="288"/>
      <c r="BS12" s="288"/>
      <c r="BT12" s="288"/>
      <c r="BU12" s="288"/>
      <c r="BV12" s="288"/>
      <c r="BW12" s="288"/>
    </row>
    <row r="13" spans="2:75">
      <c r="B13" s="288" t="s">
        <v>363</v>
      </c>
      <c r="C13" s="288"/>
      <c r="D13" s="288">
        <f>IF(D11=0,0,IF(ISNUMBER(IPMT($C7,D11,$C8,-$C6)), IPMT($C7,D11,$C8,-$C6),0))</f>
        <v>1000</v>
      </c>
      <c r="E13" s="288">
        <f t="shared" ref="E13:R13" si="46">IF(E11=0,0,IF(ISNUMBER(IPMT($C7,E11,$C8,-$C6)), IPMT($C7,E11,$C8,-$C6),0))</f>
        <v>985.6671984705722</v>
      </c>
      <c r="F13" s="288">
        <f t="shared" si="46"/>
        <v>971.26273293349686</v>
      </c>
      <c r="G13" s="288">
        <f t="shared" si="46"/>
        <v>956.78624506873666</v>
      </c>
      <c r="H13" s="288">
        <f t="shared" si="46"/>
        <v>942.23737476465237</v>
      </c>
      <c r="I13" s="288">
        <f t="shared" si="46"/>
        <v>927.61576010904787</v>
      </c>
      <c r="J13" s="288">
        <f t="shared" si="46"/>
        <v>912.9210373801651</v>
      </c>
      <c r="K13" s="288">
        <f t="shared" si="46"/>
        <v>898.15284103763781</v>
      </c>
      <c r="L13" s="288">
        <f t="shared" si="46"/>
        <v>883.31080371339817</v>
      </c>
      <c r="M13" s="288">
        <f t="shared" si="46"/>
        <v>868.39455620253727</v>
      </c>
      <c r="N13" s="288">
        <f t="shared" si="46"/>
        <v>853.40372745412219</v>
      </c>
      <c r="O13" s="288">
        <f t="shared" si="46"/>
        <v>838.33794456196472</v>
      </c>
      <c r="P13" s="288">
        <f t="shared" si="46"/>
        <v>823.19683275534669</v>
      </c>
      <c r="Q13" s="288">
        <f t="shared" si="46"/>
        <v>807.9800153896955</v>
      </c>
      <c r="R13" s="288">
        <f t="shared" si="46"/>
        <v>792.68711393721594</v>
      </c>
      <c r="S13" s="288">
        <f t="shared" ref="S13:BK13" si="47">IF(S11=0,0,IF(ISNUMBER(IPMT($C7,S11,$C8,-$C6)), IPMT($C7,S11,$C8,-$C6),0))</f>
        <v>777.31774797747426</v>
      </c>
      <c r="T13" s="288">
        <f t="shared" si="47"/>
        <v>761.87153518793366</v>
      </c>
      <c r="U13" s="288">
        <f t="shared" si="47"/>
        <v>746.34809133444548</v>
      </c>
      <c r="V13" s="288">
        <f t="shared" si="47"/>
        <v>730.74703026168982</v>
      </c>
      <c r="W13" s="288">
        <f t="shared" si="47"/>
        <v>715.0679638835702</v>
      </c>
      <c r="X13" s="288">
        <f t="shared" si="47"/>
        <v>699.31050217356005</v>
      </c>
      <c r="Y13" s="288">
        <f t="shared" si="47"/>
        <v>683.47425315500004</v>
      </c>
      <c r="Z13" s="288">
        <f t="shared" si="47"/>
        <v>667.55882289134706</v>
      </c>
      <c r="AA13" s="288">
        <f t="shared" si="47"/>
        <v>651.56381547637602</v>
      </c>
      <c r="AB13" s="288">
        <f t="shared" si="47"/>
        <v>635.48883302433001</v>
      </c>
      <c r="AC13" s="288">
        <f t="shared" si="47"/>
        <v>619.33347566002374</v>
      </c>
      <c r="AD13" s="288">
        <f t="shared" si="47"/>
        <v>603.09734150889574</v>
      </c>
      <c r="AE13" s="288">
        <f t="shared" si="47"/>
        <v>586.78002668701242</v>
      </c>
      <c r="AF13" s="288">
        <f t="shared" si="47"/>
        <v>570.38112529101943</v>
      </c>
      <c r="AG13" s="288">
        <f t="shared" si="47"/>
        <v>553.90022938804668</v>
      </c>
      <c r="AH13" s="288">
        <f t="shared" si="47"/>
        <v>537.33692900555911</v>
      </c>
      <c r="AI13" s="288">
        <f t="shared" si="47"/>
        <v>520.69081212115896</v>
      </c>
      <c r="AJ13" s="288">
        <f t="shared" si="47"/>
        <v>503.96146465233676</v>
      </c>
      <c r="AK13" s="288">
        <f t="shared" si="47"/>
        <v>487.14847044617056</v>
      </c>
      <c r="AL13" s="288">
        <f t="shared" si="47"/>
        <v>470.25141126897341</v>
      </c>
      <c r="AM13" s="288">
        <f t="shared" si="47"/>
        <v>453.26986679589044</v>
      </c>
      <c r="AN13" s="288">
        <f t="shared" si="47"/>
        <v>436.20341460044199</v>
      </c>
      <c r="AO13" s="288">
        <f t="shared" si="47"/>
        <v>419.05163014401626</v>
      </c>
      <c r="AP13" s="288">
        <f t="shared" si="47"/>
        <v>401.81408676530839</v>
      </c>
      <c r="AQ13" s="288">
        <f t="shared" si="47"/>
        <v>384.49035566970707</v>
      </c>
      <c r="AR13" s="288">
        <f t="shared" si="47"/>
        <v>367.08000591862765</v>
      </c>
      <c r="AS13" s="288">
        <f t="shared" si="47"/>
        <v>349.58260441879293</v>
      </c>
      <c r="AT13" s="288">
        <f t="shared" si="47"/>
        <v>331.99771591145895</v>
      </c>
      <c r="AU13" s="288">
        <f t="shared" si="47"/>
        <v>314.32490296158824</v>
      </c>
      <c r="AV13" s="288">
        <f t="shared" si="47"/>
        <v>296.5637259469683</v>
      </c>
      <c r="AW13" s="288">
        <f t="shared" si="47"/>
        <v>278.71374304727527</v>
      </c>
      <c r="AX13" s="288">
        <f t="shared" si="47"/>
        <v>260.77451023308367</v>
      </c>
      <c r="AY13" s="288">
        <f t="shared" si="47"/>
        <v>242.74558125482119</v>
      </c>
      <c r="AZ13" s="288">
        <f t="shared" si="47"/>
        <v>224.62650763166741</v>
      </c>
      <c r="BA13" s="288">
        <f t="shared" si="47"/>
        <v>206.4168386403978</v>
      </c>
      <c r="BB13" s="288">
        <f t="shared" si="47"/>
        <v>188.11612130417191</v>
      </c>
      <c r="BC13" s="288">
        <f t="shared" si="47"/>
        <v>169.72390038126483</v>
      </c>
      <c r="BD13" s="288">
        <f t="shared" si="47"/>
        <v>151.23971835374323</v>
      </c>
      <c r="BE13" s="288">
        <f t="shared" si="47"/>
        <v>132.663115416084</v>
      </c>
      <c r="BF13" s="288">
        <f t="shared" si="47"/>
        <v>113.99362946373653</v>
      </c>
      <c r="BG13" s="288">
        <f t="shared" si="47"/>
        <v>95.23079608162729</v>
      </c>
      <c r="BH13" s="288">
        <f t="shared" si="47"/>
        <v>76.374148532607492</v>
      </c>
      <c r="BI13" s="288">
        <f t="shared" si="47"/>
        <v>57.423217745842621</v>
      </c>
      <c r="BJ13" s="288">
        <f t="shared" si="47"/>
        <v>38.377532305143909</v>
      </c>
      <c r="BK13" s="288">
        <f t="shared" si="47"/>
        <v>19.23661843724171</v>
      </c>
      <c r="BL13" s="288"/>
      <c r="BM13" s="288"/>
      <c r="BN13" s="288"/>
      <c r="BO13" s="288"/>
      <c r="BP13" s="288"/>
      <c r="BQ13" s="288"/>
      <c r="BR13" s="288"/>
      <c r="BS13" s="288"/>
      <c r="BT13" s="288"/>
      <c r="BU13" s="288"/>
      <c r="BV13" s="288"/>
      <c r="BW13" s="288"/>
    </row>
    <row r="14" spans="2:75">
      <c r="B14" s="288" t="s">
        <v>364</v>
      </c>
      <c r="C14" s="288"/>
      <c r="D14" s="288">
        <f>IF(D11=0,0,IF(ISNUMBER(PPMT($C7,D11,$C8,-$C6)),PPMT($C7,D11,$C8,-$C6),0))</f>
        <v>2866.5603058855831</v>
      </c>
      <c r="E14" s="288">
        <f t="shared" ref="E14:R14" si="48">IF(E11=0,0,IF(ISNUMBER(PPMT($C7,E11,$C8,-$C6)),PPMT($C7,E11,$C8,-$C6),0))</f>
        <v>2880.8931074150109</v>
      </c>
      <c r="F14" s="288">
        <f t="shared" si="48"/>
        <v>2895.2975729520858</v>
      </c>
      <c r="G14" s="288">
        <f t="shared" si="48"/>
        <v>2909.7740608168465</v>
      </c>
      <c r="H14" s="288">
        <f t="shared" si="48"/>
        <v>2924.3229311209307</v>
      </c>
      <c r="I14" s="288">
        <f t="shared" si="48"/>
        <v>2938.9445457765355</v>
      </c>
      <c r="J14" s="288">
        <f t="shared" si="48"/>
        <v>2953.6392685054179</v>
      </c>
      <c r="K14" s="288">
        <f t="shared" si="48"/>
        <v>2968.407464847945</v>
      </c>
      <c r="L14" s="288">
        <f t="shared" si="48"/>
        <v>2983.2495021721843</v>
      </c>
      <c r="M14" s="288">
        <f t="shared" si="48"/>
        <v>2998.1657496830462</v>
      </c>
      <c r="N14" s="288">
        <f t="shared" si="48"/>
        <v>3013.1565784314607</v>
      </c>
      <c r="O14" s="288">
        <f t="shared" si="48"/>
        <v>3028.2223613236183</v>
      </c>
      <c r="P14" s="288">
        <f t="shared" si="48"/>
        <v>3043.3634731302363</v>
      </c>
      <c r="Q14" s="288">
        <f t="shared" si="48"/>
        <v>3058.5802904958878</v>
      </c>
      <c r="R14" s="288">
        <f t="shared" si="48"/>
        <v>3073.8731919483671</v>
      </c>
      <c r="S14" s="288">
        <f t="shared" ref="S14:BK14" si="49">IF(S11=0,0,IF(ISNUMBER(PPMT($C7,S11,$C8,-$C6)),PPMT($C7,S11,$C8,-$C6),0))</f>
        <v>3089.2425579081087</v>
      </c>
      <c r="T14" s="288">
        <f t="shared" si="49"/>
        <v>3104.6887706976495</v>
      </c>
      <c r="U14" s="288">
        <f t="shared" si="49"/>
        <v>3120.2122145511375</v>
      </c>
      <c r="V14" s="288">
        <f t="shared" si="49"/>
        <v>3135.8132756238933</v>
      </c>
      <c r="W14" s="288">
        <f t="shared" si="49"/>
        <v>3151.4923420020132</v>
      </c>
      <c r="X14" s="288">
        <f t="shared" si="49"/>
        <v>3167.2498037120231</v>
      </c>
      <c r="Y14" s="288">
        <f t="shared" si="49"/>
        <v>3183.0860527305831</v>
      </c>
      <c r="Z14" s="288">
        <f t="shared" si="49"/>
        <v>3199.0014829942356</v>
      </c>
      <c r="AA14" s="288">
        <f t="shared" si="49"/>
        <v>3214.9964904092071</v>
      </c>
      <c r="AB14" s="288">
        <f t="shared" si="49"/>
        <v>3231.0714728612529</v>
      </c>
      <c r="AC14" s="288">
        <f t="shared" si="49"/>
        <v>3247.2268302255598</v>
      </c>
      <c r="AD14" s="288">
        <f t="shared" si="49"/>
        <v>3263.4629643766875</v>
      </c>
      <c r="AE14" s="288">
        <f t="shared" si="49"/>
        <v>3279.7802791985705</v>
      </c>
      <c r="AF14" s="288">
        <f t="shared" si="49"/>
        <v>3296.1791805945636</v>
      </c>
      <c r="AG14" s="288">
        <f t="shared" si="49"/>
        <v>3312.660076497536</v>
      </c>
      <c r="AH14" s="288">
        <f t="shared" si="49"/>
        <v>3329.2233768800238</v>
      </c>
      <c r="AI14" s="288">
        <f t="shared" si="49"/>
        <v>3345.8694937644241</v>
      </c>
      <c r="AJ14" s="288">
        <f t="shared" si="49"/>
        <v>3362.5988412332467</v>
      </c>
      <c r="AK14" s="288">
        <f t="shared" si="49"/>
        <v>3379.4118354394122</v>
      </c>
      <c r="AL14" s="288">
        <f t="shared" si="49"/>
        <v>3396.3088946166095</v>
      </c>
      <c r="AM14" s="288">
        <f t="shared" si="49"/>
        <v>3413.2904390896929</v>
      </c>
      <c r="AN14" s="288">
        <f t="shared" si="49"/>
        <v>3430.356891285141</v>
      </c>
      <c r="AO14" s="288">
        <f t="shared" si="49"/>
        <v>3447.5086757415665</v>
      </c>
      <c r="AP14" s="288">
        <f t="shared" si="49"/>
        <v>3464.7462191202749</v>
      </c>
      <c r="AQ14" s="288">
        <f t="shared" si="49"/>
        <v>3482.0699502158759</v>
      </c>
      <c r="AR14" s="288">
        <f t="shared" si="49"/>
        <v>3499.4802999669555</v>
      </c>
      <c r="AS14" s="288">
        <f t="shared" si="49"/>
        <v>3516.9777014667902</v>
      </c>
      <c r="AT14" s="288">
        <f t="shared" si="49"/>
        <v>3534.562589974124</v>
      </c>
      <c r="AU14" s="288">
        <f t="shared" si="49"/>
        <v>3552.2354029239946</v>
      </c>
      <c r="AV14" s="288">
        <f t="shared" si="49"/>
        <v>3569.996579938615</v>
      </c>
      <c r="AW14" s="288">
        <f t="shared" si="49"/>
        <v>3587.8465628383078</v>
      </c>
      <c r="AX14" s="288">
        <f t="shared" si="49"/>
        <v>3605.785795652499</v>
      </c>
      <c r="AY14" s="288">
        <f t="shared" si="49"/>
        <v>3623.8147246307617</v>
      </c>
      <c r="AZ14" s="288">
        <f t="shared" si="49"/>
        <v>3641.9337982539159</v>
      </c>
      <c r="BA14" s="288">
        <f t="shared" si="49"/>
        <v>3660.1434672451851</v>
      </c>
      <c r="BB14" s="288">
        <f t="shared" si="49"/>
        <v>3678.4441845814108</v>
      </c>
      <c r="BC14" s="288">
        <f t="shared" si="49"/>
        <v>3696.836405504318</v>
      </c>
      <c r="BD14" s="288">
        <f t="shared" si="49"/>
        <v>3715.3205875318399</v>
      </c>
      <c r="BE14" s="288">
        <f t="shared" si="49"/>
        <v>3733.897190469499</v>
      </c>
      <c r="BF14" s="288">
        <f t="shared" si="49"/>
        <v>3752.5666764218468</v>
      </c>
      <c r="BG14" s="288">
        <f t="shared" si="49"/>
        <v>3771.3295098039562</v>
      </c>
      <c r="BH14" s="288">
        <f t="shared" si="49"/>
        <v>3790.186157352975</v>
      </c>
      <c r="BI14" s="288">
        <f t="shared" si="49"/>
        <v>3809.1370881397406</v>
      </c>
      <c r="BJ14" s="288">
        <f t="shared" si="49"/>
        <v>3828.1827735804395</v>
      </c>
      <c r="BK14" s="288">
        <f t="shared" si="49"/>
        <v>3847.3236874483414</v>
      </c>
      <c r="BL14" s="288"/>
      <c r="BM14" s="288"/>
      <c r="BN14" s="288"/>
      <c r="BO14" s="288"/>
      <c r="BP14" s="288"/>
      <c r="BQ14" s="288"/>
      <c r="BR14" s="288"/>
      <c r="BS14" s="288"/>
      <c r="BT14" s="288"/>
      <c r="BU14" s="288"/>
      <c r="BV14" s="288"/>
      <c r="BW14" s="288"/>
    </row>
    <row r="15" spans="2:75">
      <c r="B15" s="288" t="s">
        <v>365</v>
      </c>
      <c r="C15" s="288"/>
      <c r="D15" s="288">
        <f>SUM(D13:D14)</f>
        <v>3866.5603058855831</v>
      </c>
      <c r="E15" s="288">
        <f t="shared" ref="E15:R15" si="50">SUM(E13:E14)</f>
        <v>3866.5603058855831</v>
      </c>
      <c r="F15" s="288">
        <f t="shared" si="50"/>
        <v>3866.5603058855827</v>
      </c>
      <c r="G15" s="288">
        <f t="shared" si="50"/>
        <v>3866.5603058855831</v>
      </c>
      <c r="H15" s="288">
        <f t="shared" si="50"/>
        <v>3866.5603058855831</v>
      </c>
      <c r="I15" s="288">
        <f t="shared" si="50"/>
        <v>3866.5603058855831</v>
      </c>
      <c r="J15" s="288">
        <f t="shared" si="50"/>
        <v>3866.5603058855831</v>
      </c>
      <c r="K15" s="288">
        <f t="shared" si="50"/>
        <v>3866.5603058855827</v>
      </c>
      <c r="L15" s="288">
        <f t="shared" si="50"/>
        <v>3866.5603058855822</v>
      </c>
      <c r="M15" s="288">
        <f t="shared" si="50"/>
        <v>3866.5603058855836</v>
      </c>
      <c r="N15" s="288">
        <f t="shared" si="50"/>
        <v>3866.5603058855831</v>
      </c>
      <c r="O15" s="288">
        <f t="shared" si="50"/>
        <v>3866.5603058855831</v>
      </c>
      <c r="P15" s="288">
        <f t="shared" si="50"/>
        <v>3866.5603058855831</v>
      </c>
      <c r="Q15" s="288">
        <f t="shared" si="50"/>
        <v>3866.5603058855831</v>
      </c>
      <c r="R15" s="288">
        <f t="shared" si="50"/>
        <v>3866.5603058855831</v>
      </c>
      <c r="S15" s="288">
        <f t="shared" ref="S15:BK15" si="51">SUM(S13:S14)</f>
        <v>3866.5603058855831</v>
      </c>
      <c r="T15" s="288">
        <f t="shared" si="51"/>
        <v>3866.5603058855831</v>
      </c>
      <c r="U15" s="288">
        <f t="shared" si="51"/>
        <v>3866.5603058855831</v>
      </c>
      <c r="V15" s="288">
        <f t="shared" si="51"/>
        <v>3866.5603058855831</v>
      </c>
      <c r="W15" s="288">
        <f t="shared" si="51"/>
        <v>3866.5603058855831</v>
      </c>
      <c r="X15" s="288">
        <f t="shared" si="51"/>
        <v>3866.5603058855831</v>
      </c>
      <c r="Y15" s="288">
        <f t="shared" si="51"/>
        <v>3866.5603058855831</v>
      </c>
      <c r="Z15" s="288">
        <f t="shared" si="51"/>
        <v>3866.5603058855827</v>
      </c>
      <c r="AA15" s="288">
        <f t="shared" si="51"/>
        <v>3866.5603058855831</v>
      </c>
      <c r="AB15" s="288">
        <f t="shared" si="51"/>
        <v>3866.5603058855831</v>
      </c>
      <c r="AC15" s="288">
        <f t="shared" si="51"/>
        <v>3866.5603058855836</v>
      </c>
      <c r="AD15" s="288">
        <f t="shared" si="51"/>
        <v>3866.5603058855831</v>
      </c>
      <c r="AE15" s="288">
        <f t="shared" si="51"/>
        <v>3866.5603058855831</v>
      </c>
      <c r="AF15" s="288">
        <f t="shared" si="51"/>
        <v>3866.5603058855831</v>
      </c>
      <c r="AG15" s="288">
        <f t="shared" si="51"/>
        <v>3866.5603058855827</v>
      </c>
      <c r="AH15" s="288">
        <f t="shared" si="51"/>
        <v>3866.5603058855831</v>
      </c>
      <c r="AI15" s="288">
        <f t="shared" si="51"/>
        <v>3866.5603058855831</v>
      </c>
      <c r="AJ15" s="288">
        <f t="shared" si="51"/>
        <v>3866.5603058855836</v>
      </c>
      <c r="AK15" s="288">
        <f t="shared" si="51"/>
        <v>3866.5603058855827</v>
      </c>
      <c r="AL15" s="288">
        <f t="shared" si="51"/>
        <v>3866.5603058855827</v>
      </c>
      <c r="AM15" s="288">
        <f t="shared" si="51"/>
        <v>3866.5603058855831</v>
      </c>
      <c r="AN15" s="288">
        <f t="shared" si="51"/>
        <v>3866.5603058855831</v>
      </c>
      <c r="AO15" s="288">
        <f t="shared" si="51"/>
        <v>3866.5603058855827</v>
      </c>
      <c r="AP15" s="288">
        <f t="shared" si="51"/>
        <v>3866.5603058855831</v>
      </c>
      <c r="AQ15" s="288">
        <f t="shared" si="51"/>
        <v>3866.5603058855831</v>
      </c>
      <c r="AR15" s="288">
        <f t="shared" si="51"/>
        <v>3866.5603058855831</v>
      </c>
      <c r="AS15" s="288">
        <f t="shared" si="51"/>
        <v>3866.5603058855831</v>
      </c>
      <c r="AT15" s="288">
        <f t="shared" si="51"/>
        <v>3866.5603058855831</v>
      </c>
      <c r="AU15" s="288">
        <f t="shared" si="51"/>
        <v>3866.5603058855827</v>
      </c>
      <c r="AV15" s="288">
        <f t="shared" si="51"/>
        <v>3866.5603058855831</v>
      </c>
      <c r="AW15" s="288">
        <f t="shared" si="51"/>
        <v>3866.5603058855831</v>
      </c>
      <c r="AX15" s="288">
        <f t="shared" si="51"/>
        <v>3866.5603058855827</v>
      </c>
      <c r="AY15" s="288">
        <f t="shared" si="51"/>
        <v>3866.5603058855827</v>
      </c>
      <c r="AZ15" s="288">
        <f t="shared" si="51"/>
        <v>3866.5603058855831</v>
      </c>
      <c r="BA15" s="288">
        <f t="shared" si="51"/>
        <v>3866.5603058855827</v>
      </c>
      <c r="BB15" s="288">
        <f t="shared" si="51"/>
        <v>3866.5603058855827</v>
      </c>
      <c r="BC15" s="288">
        <f t="shared" si="51"/>
        <v>3866.5603058855827</v>
      </c>
      <c r="BD15" s="288">
        <f t="shared" si="51"/>
        <v>3866.5603058855831</v>
      </c>
      <c r="BE15" s="288">
        <f t="shared" si="51"/>
        <v>3866.5603058855831</v>
      </c>
      <c r="BF15" s="288">
        <f t="shared" si="51"/>
        <v>3866.5603058855831</v>
      </c>
      <c r="BG15" s="288">
        <f t="shared" si="51"/>
        <v>3866.5603058855836</v>
      </c>
      <c r="BH15" s="288">
        <f t="shared" si="51"/>
        <v>3866.5603058855827</v>
      </c>
      <c r="BI15" s="288">
        <f t="shared" si="51"/>
        <v>3866.5603058855831</v>
      </c>
      <c r="BJ15" s="288">
        <f t="shared" si="51"/>
        <v>3866.5603058855836</v>
      </c>
      <c r="BK15" s="288">
        <f t="shared" si="51"/>
        <v>3866.5603058855831</v>
      </c>
      <c r="BL15" s="288"/>
      <c r="BM15" s="288"/>
      <c r="BN15" s="288"/>
      <c r="BO15" s="288"/>
      <c r="BP15" s="288"/>
      <c r="BQ15" s="288"/>
      <c r="BR15" s="288"/>
      <c r="BS15" s="288"/>
      <c r="BT15" s="288"/>
      <c r="BU15" s="288"/>
      <c r="BV15" s="288"/>
      <c r="BW15" s="288"/>
    </row>
    <row r="16" spans="2:75">
      <c r="B16" s="288" t="s">
        <v>366</v>
      </c>
      <c r="C16" s="288">
        <v>0</v>
      </c>
      <c r="D16" s="288">
        <f>D12-D14</f>
        <v>197133.43969411441</v>
      </c>
      <c r="E16" s="288">
        <f t="shared" ref="E16:R16" si="52">E12-E14</f>
        <v>194252.54658669941</v>
      </c>
      <c r="F16" s="288">
        <f t="shared" si="52"/>
        <v>191357.24901374732</v>
      </c>
      <c r="G16" s="288">
        <f t="shared" si="52"/>
        <v>188447.47495293047</v>
      </c>
      <c r="H16" s="288">
        <f t="shared" si="52"/>
        <v>185523.15202180954</v>
      </c>
      <c r="I16" s="288">
        <f t="shared" si="52"/>
        <v>182584.20747603301</v>
      </c>
      <c r="J16" s="288">
        <f t="shared" si="52"/>
        <v>179630.5682075276</v>
      </c>
      <c r="K16" s="288">
        <f t="shared" si="52"/>
        <v>176662.16074267964</v>
      </c>
      <c r="L16" s="288">
        <f t="shared" si="52"/>
        <v>173678.91124050744</v>
      </c>
      <c r="M16" s="288">
        <f t="shared" si="52"/>
        <v>170680.7454908244</v>
      </c>
      <c r="N16" s="288">
        <f t="shared" si="52"/>
        <v>167667.58891239294</v>
      </c>
      <c r="O16" s="288">
        <f t="shared" si="52"/>
        <v>164639.36655106931</v>
      </c>
      <c r="P16" s="288">
        <f t="shared" si="52"/>
        <v>161596.00307793907</v>
      </c>
      <c r="Q16" s="288">
        <f t="shared" si="52"/>
        <v>158537.42278744318</v>
      </c>
      <c r="R16" s="288">
        <f t="shared" si="52"/>
        <v>155463.54959549481</v>
      </c>
      <c r="S16" s="288">
        <f t="shared" ref="S16:BK16" si="53">S12-S14</f>
        <v>152374.3070375867</v>
      </c>
      <c r="T16" s="288">
        <f t="shared" si="53"/>
        <v>149269.61826688904</v>
      </c>
      <c r="U16" s="288">
        <f t="shared" si="53"/>
        <v>146149.4060523379</v>
      </c>
      <c r="V16" s="288">
        <f t="shared" si="53"/>
        <v>143013.59277671401</v>
      </c>
      <c r="W16" s="288">
        <f t="shared" si="53"/>
        <v>139862.10043471199</v>
      </c>
      <c r="X16" s="288">
        <f t="shared" si="53"/>
        <v>136694.85063099998</v>
      </c>
      <c r="Y16" s="288">
        <f t="shared" si="53"/>
        <v>133511.76457826939</v>
      </c>
      <c r="Z16" s="288">
        <f t="shared" si="53"/>
        <v>130312.76309527515</v>
      </c>
      <c r="AA16" s="288">
        <f t="shared" si="53"/>
        <v>127097.76660486594</v>
      </c>
      <c r="AB16" s="288">
        <f t="shared" si="53"/>
        <v>123866.69513200469</v>
      </c>
      <c r="AC16" s="288">
        <f t="shared" si="53"/>
        <v>120619.46830177914</v>
      </c>
      <c r="AD16" s="288">
        <f t="shared" si="53"/>
        <v>117356.00533740246</v>
      </c>
      <c r="AE16" s="288">
        <f t="shared" si="53"/>
        <v>114076.22505820388</v>
      </c>
      <c r="AF16" s="288">
        <f t="shared" si="53"/>
        <v>110780.04587760931</v>
      </c>
      <c r="AG16" s="288">
        <f t="shared" si="53"/>
        <v>107467.38580111178</v>
      </c>
      <c r="AH16" s="288">
        <f t="shared" si="53"/>
        <v>104138.16242423176</v>
      </c>
      <c r="AI16" s="288">
        <f t="shared" si="53"/>
        <v>100792.29293046735</v>
      </c>
      <c r="AJ16" s="288">
        <f t="shared" si="53"/>
        <v>97429.694089234094</v>
      </c>
      <c r="AK16" s="288">
        <f t="shared" si="53"/>
        <v>94050.282253794678</v>
      </c>
      <c r="AL16" s="288">
        <f t="shared" si="53"/>
        <v>90653.973359178068</v>
      </c>
      <c r="AM16" s="288">
        <f t="shared" si="53"/>
        <v>87240.68292008838</v>
      </c>
      <c r="AN16" s="288">
        <f t="shared" si="53"/>
        <v>83810.326028803232</v>
      </c>
      <c r="AO16" s="288">
        <f t="shared" si="53"/>
        <v>80362.817353061662</v>
      </c>
      <c r="AP16" s="288">
        <f t="shared" si="53"/>
        <v>76898.071133941383</v>
      </c>
      <c r="AQ16" s="288">
        <f t="shared" si="53"/>
        <v>73416.001183725501</v>
      </c>
      <c r="AR16" s="288">
        <f t="shared" si="53"/>
        <v>69916.520883758552</v>
      </c>
      <c r="AS16" s="288">
        <f t="shared" si="53"/>
        <v>66399.54318229176</v>
      </c>
      <c r="AT16" s="288">
        <f t="shared" si="53"/>
        <v>62864.980592317639</v>
      </c>
      <c r="AU16" s="288">
        <f t="shared" si="53"/>
        <v>59312.745189393645</v>
      </c>
      <c r="AV16" s="288">
        <f t="shared" si="53"/>
        <v>55742.748609455033</v>
      </c>
      <c r="AW16" s="288">
        <f t="shared" si="53"/>
        <v>52154.902046616728</v>
      </c>
      <c r="AX16" s="288">
        <f t="shared" si="53"/>
        <v>48549.116250964231</v>
      </c>
      <c r="AY16" s="288">
        <f t="shared" si="53"/>
        <v>44925.301526333467</v>
      </c>
      <c r="AZ16" s="288">
        <f t="shared" si="53"/>
        <v>41283.367728079553</v>
      </c>
      <c r="BA16" s="288">
        <f t="shared" si="53"/>
        <v>37623.224260834366</v>
      </c>
      <c r="BB16" s="288">
        <f t="shared" si="53"/>
        <v>33944.780076252951</v>
      </c>
      <c r="BC16" s="288">
        <f t="shared" si="53"/>
        <v>30247.943670748635</v>
      </c>
      <c r="BD16" s="288">
        <f t="shared" si="53"/>
        <v>26532.623083216793</v>
      </c>
      <c r="BE16" s="288">
        <f t="shared" si="53"/>
        <v>22798.725892747294</v>
      </c>
      <c r="BF16" s="288">
        <f t="shared" si="53"/>
        <v>19046.159216325446</v>
      </c>
      <c r="BG16" s="288">
        <f t="shared" si="53"/>
        <v>15274.82970652149</v>
      </c>
      <c r="BH16" s="288">
        <f t="shared" si="53"/>
        <v>11484.643549168515</v>
      </c>
      <c r="BI16" s="288">
        <f t="shared" si="53"/>
        <v>7675.5064610287745</v>
      </c>
      <c r="BJ16" s="288">
        <f t="shared" si="53"/>
        <v>3847.323687448335</v>
      </c>
      <c r="BK16" s="288">
        <f t="shared" si="53"/>
        <v>-6.3664629124104977E-12</v>
      </c>
      <c r="BL16" s="288"/>
      <c r="BM16" s="288"/>
      <c r="BN16" s="288"/>
      <c r="BO16" s="288"/>
      <c r="BP16" s="288"/>
      <c r="BQ16" s="288"/>
      <c r="BR16" s="288"/>
      <c r="BS16" s="288"/>
      <c r="BT16" s="288"/>
      <c r="BU16" s="288"/>
      <c r="BV16" s="288"/>
      <c r="BW16" s="288"/>
    </row>
    <row r="17" spans="2:75">
      <c r="B17" s="288" t="s">
        <v>367</v>
      </c>
      <c r="C17" s="288">
        <f>SUM(D14:O14)</f>
        <v>35360.633448930661</v>
      </c>
      <c r="D17" s="288">
        <f t="shared" ref="D17:BK17" si="54">SUM(E14:P14)</f>
        <v>35537.436616175321</v>
      </c>
      <c r="E17" s="288">
        <f t="shared" si="54"/>
        <v>35715.123799256202</v>
      </c>
      <c r="F17" s="288">
        <f t="shared" si="54"/>
        <v>35893.69941825248</v>
      </c>
      <c r="G17" s="288">
        <f t="shared" si="54"/>
        <v>36073.167915343744</v>
      </c>
      <c r="H17" s="288">
        <f t="shared" si="54"/>
        <v>36253.533754920456</v>
      </c>
      <c r="I17" s="288">
        <f t="shared" si="54"/>
        <v>36434.801423695062</v>
      </c>
      <c r="J17" s="288">
        <f t="shared" si="54"/>
        <v>36616.975430813538</v>
      </c>
      <c r="K17" s="288">
        <f t="shared" si="54"/>
        <v>36800.0603079676</v>
      </c>
      <c r="L17" s="288">
        <f t="shared" si="54"/>
        <v>36984.06060950744</v>
      </c>
      <c r="M17" s="288">
        <f t="shared" si="54"/>
        <v>37168.98091255498</v>
      </c>
      <c r="N17" s="288">
        <f t="shared" si="54"/>
        <v>37354.825817117759</v>
      </c>
      <c r="O17" s="288">
        <f t="shared" si="54"/>
        <v>37541.599946203343</v>
      </c>
      <c r="P17" s="288">
        <f t="shared" si="54"/>
        <v>37729.307945934357</v>
      </c>
      <c r="Q17" s="288">
        <f t="shared" si="54"/>
        <v>37917.954485664042</v>
      </c>
      <c r="R17" s="288">
        <f t="shared" si="54"/>
        <v>38107.544258092363</v>
      </c>
      <c r="S17" s="288">
        <f t="shared" si="54"/>
        <v>38298.081979382827</v>
      </c>
      <c r="T17" s="288">
        <f t="shared" si="54"/>
        <v>38489.572389279732</v>
      </c>
      <c r="U17" s="288">
        <f t="shared" si="54"/>
        <v>38682.020251226131</v>
      </c>
      <c r="V17" s="288">
        <f t="shared" si="54"/>
        <v>38875.430352482261</v>
      </c>
      <c r="W17" s="288">
        <f t="shared" si="54"/>
        <v>39069.807504244673</v>
      </c>
      <c r="X17" s="288">
        <f t="shared" si="54"/>
        <v>39265.156541765893</v>
      </c>
      <c r="Y17" s="288">
        <f t="shared" si="54"/>
        <v>39461.482324474724</v>
      </c>
      <c r="Z17" s="288">
        <f t="shared" si="54"/>
        <v>39658.789736097096</v>
      </c>
      <c r="AA17" s="288">
        <f t="shared" si="54"/>
        <v>39857.083684777586</v>
      </c>
      <c r="AB17" s="288">
        <f t="shared" si="54"/>
        <v>40056.369103201469</v>
      </c>
      <c r="AC17" s="288">
        <f t="shared" si="54"/>
        <v>40256.650948717477</v>
      </c>
      <c r="AD17" s="288">
        <f t="shared" si="54"/>
        <v>40457.934203461053</v>
      </c>
      <c r="AE17" s="288">
        <f t="shared" si="54"/>
        <v>40660.223874478368</v>
      </c>
      <c r="AF17" s="288">
        <f t="shared" si="54"/>
        <v>40863.524993850762</v>
      </c>
      <c r="AG17" s="288">
        <f t="shared" si="54"/>
        <v>41067.842618820017</v>
      </c>
      <c r="AH17" s="288">
        <f t="shared" si="54"/>
        <v>41273.181831914109</v>
      </c>
      <c r="AI17" s="288">
        <f t="shared" si="54"/>
        <v>41479.547741073678</v>
      </c>
      <c r="AJ17" s="288">
        <f t="shared" si="54"/>
        <v>41686.945479779046</v>
      </c>
      <c r="AK17" s="288">
        <f t="shared" si="54"/>
        <v>41895.380207177943</v>
      </c>
      <c r="AL17" s="288">
        <f t="shared" si="54"/>
        <v>42104.85710821383</v>
      </c>
      <c r="AM17" s="288">
        <f t="shared" si="54"/>
        <v>42315.381393754906</v>
      </c>
      <c r="AN17" s="288">
        <f t="shared" si="54"/>
        <v>42526.95830072368</v>
      </c>
      <c r="AO17" s="288">
        <f t="shared" si="54"/>
        <v>42739.593092227304</v>
      </c>
      <c r="AP17" s="288">
        <f t="shared" si="54"/>
        <v>42953.291057688446</v>
      </c>
      <c r="AQ17" s="288">
        <f t="shared" si="54"/>
        <v>43168.057512976884</v>
      </c>
      <c r="AR17" s="288">
        <f t="shared" si="54"/>
        <v>43383.897800541759</v>
      </c>
      <c r="AS17" s="288">
        <f t="shared" si="54"/>
        <v>43600.817289544466</v>
      </c>
      <c r="AT17" s="288">
        <f t="shared" si="54"/>
        <v>43818.821375992193</v>
      </c>
      <c r="AU17" s="288">
        <f t="shared" si="54"/>
        <v>44037.915482872151</v>
      </c>
      <c r="AV17" s="288">
        <f t="shared" si="54"/>
        <v>44258.105060286514</v>
      </c>
      <c r="AW17" s="288">
        <f t="shared" si="54"/>
        <v>44479.395585587939</v>
      </c>
      <c r="AX17" s="288">
        <f t="shared" si="54"/>
        <v>44701.792563515883</v>
      </c>
      <c r="AY17" s="288">
        <f t="shared" si="54"/>
        <v>44925.301526333467</v>
      </c>
      <c r="AZ17" s="288">
        <f t="shared" si="54"/>
        <v>41283.367728079553</v>
      </c>
      <c r="BA17" s="288">
        <f t="shared" si="54"/>
        <v>37623.224260834366</v>
      </c>
      <c r="BB17" s="288">
        <f t="shared" si="54"/>
        <v>33944.780076252959</v>
      </c>
      <c r="BC17" s="288">
        <f t="shared" si="54"/>
        <v>30247.943670748638</v>
      </c>
      <c r="BD17" s="288">
        <f t="shared" si="54"/>
        <v>26532.6230832168</v>
      </c>
      <c r="BE17" s="288">
        <f t="shared" si="54"/>
        <v>22798.725892747301</v>
      </c>
      <c r="BF17" s="288">
        <f t="shared" si="54"/>
        <v>19046.159216325454</v>
      </c>
      <c r="BG17" s="288">
        <f t="shared" si="54"/>
        <v>15274.829706521496</v>
      </c>
      <c r="BH17" s="288">
        <f t="shared" si="54"/>
        <v>11484.643549168521</v>
      </c>
      <c r="BI17" s="288">
        <f t="shared" si="54"/>
        <v>7675.5064610287809</v>
      </c>
      <c r="BJ17" s="288">
        <f t="shared" si="54"/>
        <v>3847.3236874483414</v>
      </c>
      <c r="BK17" s="288">
        <f t="shared" si="54"/>
        <v>0</v>
      </c>
      <c r="BL17" s="288"/>
      <c r="BM17" s="288"/>
      <c r="BN17" s="288"/>
      <c r="BO17" s="288"/>
      <c r="BP17" s="288"/>
      <c r="BQ17" s="288"/>
      <c r="BR17" s="288"/>
      <c r="BS17" s="288"/>
      <c r="BT17" s="288"/>
      <c r="BU17" s="288"/>
      <c r="BV17" s="288"/>
      <c r="BW17" s="288"/>
    </row>
    <row r="18" spans="2:75">
      <c r="B18" s="288" t="s">
        <v>368</v>
      </c>
      <c r="C18" s="288">
        <f>C6-C17</f>
        <v>164639.36655106934</v>
      </c>
      <c r="D18" s="288">
        <f>IF(D16-D17&gt;0,D16-D17,0)</f>
        <v>161596.00307793909</v>
      </c>
      <c r="E18" s="288">
        <f t="shared" ref="E18:R18" si="55">IF(E16-E17&gt;0,E16-E17,0)</f>
        <v>158537.42278744321</v>
      </c>
      <c r="F18" s="288">
        <f t="shared" si="55"/>
        <v>155463.54959549484</v>
      </c>
      <c r="G18" s="288">
        <f t="shared" si="55"/>
        <v>152374.30703758672</v>
      </c>
      <c r="H18" s="288">
        <f t="shared" si="55"/>
        <v>149269.61826688907</v>
      </c>
      <c r="I18" s="288">
        <f t="shared" si="55"/>
        <v>146149.40605233796</v>
      </c>
      <c r="J18" s="288">
        <f t="shared" si="55"/>
        <v>143013.59277671407</v>
      </c>
      <c r="K18" s="288">
        <f t="shared" si="55"/>
        <v>139862.10043471205</v>
      </c>
      <c r="L18" s="288">
        <f t="shared" si="55"/>
        <v>136694.85063100001</v>
      </c>
      <c r="M18" s="288">
        <f t="shared" si="55"/>
        <v>133511.76457826942</v>
      </c>
      <c r="N18" s="288">
        <f t="shared" si="55"/>
        <v>130312.76309527518</v>
      </c>
      <c r="O18" s="288">
        <f t="shared" si="55"/>
        <v>127097.76660486596</v>
      </c>
      <c r="P18" s="288">
        <f t="shared" si="55"/>
        <v>123866.69513200471</v>
      </c>
      <c r="Q18" s="288">
        <f t="shared" si="55"/>
        <v>120619.46830177914</v>
      </c>
      <c r="R18" s="288">
        <f t="shared" si="55"/>
        <v>117356.00533740246</v>
      </c>
      <c r="S18" s="288">
        <f t="shared" ref="S18:BK18" si="56">IF(S16-S17&gt;0,S16-S17,0)</f>
        <v>114076.22505820387</v>
      </c>
      <c r="T18" s="288">
        <f t="shared" si="56"/>
        <v>110780.04587760931</v>
      </c>
      <c r="U18" s="288">
        <f t="shared" si="56"/>
        <v>107467.38580111177</v>
      </c>
      <c r="V18" s="288">
        <f t="shared" si="56"/>
        <v>104138.16242423175</v>
      </c>
      <c r="W18" s="288">
        <f t="shared" si="56"/>
        <v>100792.29293046732</v>
      </c>
      <c r="X18" s="288">
        <f t="shared" si="56"/>
        <v>97429.694089234079</v>
      </c>
      <c r="Y18" s="288">
        <f t="shared" si="56"/>
        <v>94050.282253794663</v>
      </c>
      <c r="Z18" s="288">
        <f t="shared" si="56"/>
        <v>90653.973359178053</v>
      </c>
      <c r="AA18" s="288">
        <f t="shared" si="56"/>
        <v>87240.682920088351</v>
      </c>
      <c r="AB18" s="288">
        <f t="shared" si="56"/>
        <v>83810.326028803218</v>
      </c>
      <c r="AC18" s="288">
        <f t="shared" si="56"/>
        <v>80362.817353061662</v>
      </c>
      <c r="AD18" s="288">
        <f t="shared" si="56"/>
        <v>76898.071133941412</v>
      </c>
      <c r="AE18" s="288">
        <f t="shared" si="56"/>
        <v>73416.001183725515</v>
      </c>
      <c r="AF18" s="288">
        <f t="shared" si="56"/>
        <v>69916.520883758552</v>
      </c>
      <c r="AG18" s="288">
        <f t="shared" si="56"/>
        <v>66399.54318229176</v>
      </c>
      <c r="AH18" s="288">
        <f t="shared" si="56"/>
        <v>62864.980592317654</v>
      </c>
      <c r="AI18" s="288">
        <f t="shared" si="56"/>
        <v>59312.745189393667</v>
      </c>
      <c r="AJ18" s="288">
        <f t="shared" si="56"/>
        <v>55742.748609455048</v>
      </c>
      <c r="AK18" s="288">
        <f t="shared" si="56"/>
        <v>52154.902046616735</v>
      </c>
      <c r="AL18" s="288">
        <f t="shared" si="56"/>
        <v>48549.116250964238</v>
      </c>
      <c r="AM18" s="288">
        <f t="shared" si="56"/>
        <v>44925.301526333475</v>
      </c>
      <c r="AN18" s="288">
        <f t="shared" si="56"/>
        <v>41283.367728079553</v>
      </c>
      <c r="AO18" s="288">
        <f t="shared" si="56"/>
        <v>37623.224260834359</v>
      </c>
      <c r="AP18" s="288">
        <f t="shared" si="56"/>
        <v>33944.780076252937</v>
      </c>
      <c r="AQ18" s="288">
        <f t="shared" si="56"/>
        <v>30247.943670748617</v>
      </c>
      <c r="AR18" s="288">
        <f t="shared" si="56"/>
        <v>26532.623083216793</v>
      </c>
      <c r="AS18" s="288">
        <f t="shared" si="56"/>
        <v>22798.725892747294</v>
      </c>
      <c r="AT18" s="288">
        <f t="shared" si="56"/>
        <v>19046.159216325446</v>
      </c>
      <c r="AU18" s="288">
        <f t="shared" si="56"/>
        <v>15274.829706521494</v>
      </c>
      <c r="AV18" s="288">
        <f t="shared" si="56"/>
        <v>11484.643549168519</v>
      </c>
      <c r="AW18" s="288">
        <f t="shared" si="56"/>
        <v>7675.5064610287882</v>
      </c>
      <c r="AX18" s="288">
        <f t="shared" si="56"/>
        <v>3847.3236874483482</v>
      </c>
      <c r="AY18" s="288">
        <f t="shared" si="56"/>
        <v>0</v>
      </c>
      <c r="AZ18" s="288">
        <f t="shared" si="56"/>
        <v>0</v>
      </c>
      <c r="BA18" s="288">
        <f t="shared" si="56"/>
        <v>0</v>
      </c>
      <c r="BB18" s="288">
        <f t="shared" si="56"/>
        <v>0</v>
      </c>
      <c r="BC18" s="288">
        <f t="shared" si="56"/>
        <v>0</v>
      </c>
      <c r="BD18" s="288">
        <f t="shared" si="56"/>
        <v>0</v>
      </c>
      <c r="BE18" s="288">
        <f t="shared" si="56"/>
        <v>0</v>
      </c>
      <c r="BF18" s="288">
        <f t="shared" si="56"/>
        <v>0</v>
      </c>
      <c r="BG18" s="288">
        <f t="shared" si="56"/>
        <v>0</v>
      </c>
      <c r="BH18" s="288">
        <f t="shared" si="56"/>
        <v>0</v>
      </c>
      <c r="BI18" s="288">
        <f t="shared" si="56"/>
        <v>0</v>
      </c>
      <c r="BJ18" s="288">
        <f t="shared" si="56"/>
        <v>0</v>
      </c>
      <c r="BK18" s="288">
        <f t="shared" si="56"/>
        <v>0</v>
      </c>
      <c r="BL18" s="288"/>
      <c r="BM18" s="288"/>
      <c r="BN18" s="288"/>
      <c r="BO18" s="288"/>
      <c r="BP18" s="288"/>
      <c r="BQ18" s="288"/>
      <c r="BR18" s="288"/>
      <c r="BS18" s="288"/>
      <c r="BT18" s="288"/>
      <c r="BU18" s="288"/>
      <c r="BV18" s="288"/>
      <c r="BW18" s="288"/>
    </row>
    <row r="25" spans="2:75" ht="15.75">
      <c r="B25" s="312" t="s">
        <v>420</v>
      </c>
      <c r="C25" s="314"/>
      <c r="D25" s="315"/>
      <c r="E25" s="315"/>
      <c r="F25" s="315"/>
      <c r="G25" s="315"/>
      <c r="H25" s="315"/>
      <c r="I25" s="315"/>
      <c r="J25" s="315"/>
      <c r="K25" s="315"/>
      <c r="L25" s="315"/>
      <c r="M25" s="315"/>
      <c r="N25" s="315"/>
      <c r="O25" s="315"/>
    </row>
    <row r="26" spans="2:75" ht="15.75">
      <c r="B26" s="313" t="s">
        <v>421</v>
      </c>
      <c r="C26" s="314">
        <f>'Data Entry'!D102</f>
        <v>500</v>
      </c>
      <c r="D26" s="315"/>
      <c r="E26" s="315"/>
      <c r="F26" s="315"/>
      <c r="G26" s="315"/>
      <c r="H26" s="315"/>
      <c r="I26" s="315"/>
      <c r="J26" s="315"/>
      <c r="K26" s="315"/>
      <c r="L26" s="315"/>
      <c r="M26" s="315"/>
      <c r="N26" s="315"/>
      <c r="O26" s="315"/>
    </row>
    <row r="27" spans="2:75" ht="15.75">
      <c r="B27" s="313" t="s">
        <v>422</v>
      </c>
      <c r="C27" s="314">
        <f>'Data Entry'!D103</f>
        <v>50</v>
      </c>
      <c r="D27" s="315"/>
      <c r="E27" s="315"/>
      <c r="F27" s="315"/>
      <c r="G27" s="315"/>
      <c r="H27" s="315"/>
      <c r="I27" s="315"/>
      <c r="J27" s="315"/>
      <c r="K27" s="315"/>
      <c r="L27" s="315"/>
      <c r="M27" s="315"/>
      <c r="N27" s="315"/>
      <c r="O27" s="315"/>
    </row>
    <row r="28" spans="2:75" ht="15.75">
      <c r="B28" s="313" t="s">
        <v>423</v>
      </c>
      <c r="C28" s="314">
        <f>C26-C27</f>
        <v>450</v>
      </c>
      <c r="D28" s="315"/>
      <c r="E28" s="315"/>
      <c r="F28" s="315"/>
      <c r="G28" s="315"/>
      <c r="H28" s="315"/>
      <c r="I28" s="315"/>
      <c r="J28" s="315"/>
      <c r="K28" s="315"/>
      <c r="L28" s="315"/>
      <c r="M28" s="315"/>
      <c r="N28" s="315"/>
      <c r="O28" s="315"/>
    </row>
    <row r="29" spans="2:75" ht="15.75">
      <c r="B29" s="313" t="s">
        <v>424</v>
      </c>
      <c r="C29" s="314">
        <f>'Data Entry'!D104</f>
        <v>12</v>
      </c>
      <c r="D29" s="315"/>
      <c r="E29" s="315"/>
      <c r="F29" s="315"/>
      <c r="G29" s="315"/>
      <c r="H29" s="315"/>
      <c r="I29" s="315"/>
      <c r="J29" s="315"/>
      <c r="K29" s="315"/>
      <c r="L29" s="315"/>
      <c r="M29" s="315"/>
      <c r="N29" s="315"/>
      <c r="O29" s="315"/>
    </row>
    <row r="30" spans="2:75" ht="15.75">
      <c r="B30" s="313" t="s">
        <v>425</v>
      </c>
      <c r="C30" s="314">
        <v>12</v>
      </c>
      <c r="D30" s="315"/>
      <c r="E30" s="315"/>
      <c r="F30" s="315"/>
      <c r="G30" s="315"/>
      <c r="H30" s="315"/>
      <c r="I30" s="315"/>
      <c r="J30" s="315"/>
      <c r="K30" s="315"/>
      <c r="L30" s="315"/>
      <c r="M30" s="315"/>
      <c r="N30" s="315"/>
      <c r="O30" s="315"/>
    </row>
    <row r="31" spans="2:75" ht="15.75">
      <c r="B31" s="313"/>
      <c r="C31" s="314"/>
      <c r="D31" s="315"/>
      <c r="E31" s="315"/>
      <c r="F31" s="315"/>
      <c r="G31" s="315"/>
      <c r="H31" s="315"/>
      <c r="I31" s="315"/>
      <c r="J31" s="315"/>
      <c r="K31" s="315"/>
      <c r="L31" s="315"/>
      <c r="M31" s="315"/>
      <c r="N31" s="315"/>
      <c r="O31" s="315"/>
    </row>
    <row r="32" spans="2:75" ht="15.75">
      <c r="B32" s="316" t="s">
        <v>426</v>
      </c>
      <c r="C32" s="314">
        <v>0</v>
      </c>
      <c r="D32" s="317">
        <f>'Income Statement Projections'!B18+'Income Statement Projections'!B19</f>
        <v>5.3822019999999995</v>
      </c>
      <c r="E32" s="317">
        <f>'Income Statement Projections'!C18+'Income Statement Projections'!C19</f>
        <v>5.7805840000000011</v>
      </c>
      <c r="F32" s="317">
        <f>'Income Statement Projections'!D18+'Income Statement Projections'!D19</f>
        <v>6.178966</v>
      </c>
      <c r="G32" s="317">
        <f>'Income Statement Projections'!E18+'Income Statement Projections'!E19</f>
        <v>6.5773479999999998</v>
      </c>
      <c r="H32" s="317">
        <f>'Income Statement Projections'!F18+'Income Statement Projections'!F19</f>
        <v>6.9757300000000004</v>
      </c>
      <c r="I32" s="317">
        <f>'Income Statement Projections'!G18+'Income Statement Projections'!G19</f>
        <v>7.3741120000000002</v>
      </c>
      <c r="J32" s="317">
        <f>'Income Statement Projections'!H18+'Income Statement Projections'!H19</f>
        <v>7.772494</v>
      </c>
      <c r="K32" s="317">
        <f>'Income Statement Projections'!I18+'Income Statement Projections'!I19</f>
        <v>8.1708760000000016</v>
      </c>
      <c r="L32" s="317">
        <f>'Income Statement Projections'!J18+'Income Statement Projections'!J19</f>
        <v>8.5692579999999996</v>
      </c>
      <c r="M32" s="317">
        <f>'Income Statement Projections'!K18+'Income Statement Projections'!K19</f>
        <v>8.9676399999999994</v>
      </c>
      <c r="N32" s="317">
        <f>'Income Statement Projections'!L18+'Income Statement Projections'!L19</f>
        <v>9.366022000000001</v>
      </c>
      <c r="O32" s="317">
        <f>'Income Statement Projections'!M18+'Income Statement Projections'!M19</f>
        <v>9.764403999999999</v>
      </c>
      <c r="P32" s="317">
        <f>'Income Statement Projections'!N18+'Income Statement Projections'!N19</f>
        <v>10.162786000000002</v>
      </c>
      <c r="Q32" s="317">
        <f>'Income Statement Projections'!O18+'Income Statement Projections'!O19</f>
        <v>10.561168000000002</v>
      </c>
      <c r="R32" s="317">
        <f>'Income Statement Projections'!P18+'Income Statement Projections'!P19</f>
        <v>10.95955</v>
      </c>
      <c r="S32" s="317">
        <f>'Income Statement Projections'!Q18+'Income Statement Projections'!Q19</f>
        <v>11.357932</v>
      </c>
      <c r="T32" s="317">
        <f>'Income Statement Projections'!R18+'Income Statement Projections'!R19</f>
        <v>11.756314</v>
      </c>
      <c r="U32" s="317">
        <f>'Income Statement Projections'!S18+'Income Statement Projections'!S19</f>
        <v>12.154696</v>
      </c>
      <c r="V32" s="317">
        <f>'Income Statement Projections'!T18+'Income Statement Projections'!T19</f>
        <v>12.553077999999999</v>
      </c>
      <c r="W32" s="317">
        <f>'Income Statement Projections'!U18+'Income Statement Projections'!U19</f>
        <v>12.951460000000001</v>
      </c>
      <c r="X32" s="317">
        <f>'Income Statement Projections'!V18+'Income Statement Projections'!V19</f>
        <v>13.349842000000002</v>
      </c>
      <c r="Y32" s="317">
        <f>'Income Statement Projections'!W18+'Income Statement Projections'!W19</f>
        <v>13.748224</v>
      </c>
      <c r="Z32" s="317">
        <f>'Income Statement Projections'!X18+'Income Statement Projections'!X19</f>
        <v>14.146606</v>
      </c>
      <c r="AA32" s="317">
        <f>'Income Statement Projections'!Y18+'Income Statement Projections'!Y19</f>
        <v>14.544988</v>
      </c>
      <c r="AB32" s="317">
        <f>'Income Statement Projections'!Z18+'Income Statement Projections'!Z19</f>
        <v>14.94337</v>
      </c>
      <c r="AC32" s="317">
        <f>'Income Statement Projections'!AA18+'Income Statement Projections'!AA19</f>
        <v>15.341752000000001</v>
      </c>
      <c r="AD32" s="317">
        <f>'Income Statement Projections'!AB18+'Income Statement Projections'!AB19</f>
        <v>15.740134000000001</v>
      </c>
      <c r="AE32" s="317">
        <f>'Income Statement Projections'!AC18+'Income Statement Projections'!AC19</f>
        <v>16.138515999999999</v>
      </c>
      <c r="AF32" s="317">
        <f>'Income Statement Projections'!AD18+'Income Statement Projections'!AD19</f>
        <v>16.536898000000001</v>
      </c>
      <c r="AG32" s="317">
        <f>'Income Statement Projections'!AE18+'Income Statement Projections'!AE19</f>
        <v>16.935279999999999</v>
      </c>
      <c r="AH32" s="317">
        <f>'Income Statement Projections'!AF18+'Income Statement Projections'!AF19</f>
        <v>17.333662</v>
      </c>
      <c r="AI32" s="317">
        <f>'Income Statement Projections'!AG18+'Income Statement Projections'!AG19</f>
        <v>17.732044000000002</v>
      </c>
      <c r="AJ32" s="317">
        <f>'Income Statement Projections'!AH18+'Income Statement Projections'!AH19</f>
        <v>18.130426</v>
      </c>
      <c r="AK32" s="317">
        <f>'Income Statement Projections'!AI18+'Income Statement Projections'!AI19</f>
        <v>18.528807999999998</v>
      </c>
      <c r="AL32" s="317">
        <f>'Income Statement Projections'!AJ18+'Income Statement Projections'!AJ19</f>
        <v>18.92719</v>
      </c>
      <c r="AM32" s="317">
        <f>'Income Statement Projections'!AK18+'Income Statement Projections'!AK19</f>
        <v>19.325572000000005</v>
      </c>
      <c r="AN32" s="317">
        <f>'Income Statement Projections'!AL18+'Income Statement Projections'!AL19</f>
        <v>19.723953999999999</v>
      </c>
      <c r="AO32" s="317">
        <f>'Income Statement Projections'!AM18+'Income Statement Projections'!AM19</f>
        <v>20.122336000000004</v>
      </c>
      <c r="AP32" s="317">
        <f>'Income Statement Projections'!AN18+'Income Statement Projections'!AN19</f>
        <v>20.520717999999999</v>
      </c>
      <c r="AQ32" s="317">
        <f>'Income Statement Projections'!AO18+'Income Statement Projections'!AO19</f>
        <v>20.9191</v>
      </c>
      <c r="AR32" s="317">
        <f>'Income Statement Projections'!AP18+'Income Statement Projections'!AP19</f>
        <v>21.317481999999998</v>
      </c>
      <c r="AS32" s="317">
        <f>'Income Statement Projections'!AQ18+'Income Statement Projections'!AQ19</f>
        <v>21.715864</v>
      </c>
      <c r="AT32" s="317">
        <f>'Income Statement Projections'!AR18+'Income Statement Projections'!AR19</f>
        <v>22.114246000000001</v>
      </c>
      <c r="AU32" s="317">
        <f>'Income Statement Projections'!AS18+'Income Statement Projections'!AS19</f>
        <v>22.512627999999999</v>
      </c>
      <c r="AV32" s="317">
        <f>'Income Statement Projections'!AT18+'Income Statement Projections'!AT19</f>
        <v>22.911010000000005</v>
      </c>
      <c r="AW32" s="317">
        <f>'Income Statement Projections'!AU18+'Income Statement Projections'!AU19</f>
        <v>23.309391999999999</v>
      </c>
      <c r="AX32" s="317">
        <f>'Income Statement Projections'!AV18+'Income Statement Projections'!AV19</f>
        <v>23.707774000000001</v>
      </c>
      <c r="AY32" s="317">
        <f>'Income Statement Projections'!AW18+'Income Statement Projections'!AW19</f>
        <v>24.106155999999999</v>
      </c>
      <c r="AZ32" s="317">
        <f>'Income Statement Projections'!AX18+'Income Statement Projections'!AX19</f>
        <v>24.305347000000005</v>
      </c>
      <c r="BA32" s="317">
        <f>'Income Statement Projections'!AY18+'Income Statement Projections'!AY19</f>
        <v>24.504538</v>
      </c>
      <c r="BB32" s="317">
        <f>'Income Statement Projections'!AZ18+'Income Statement Projections'!AZ19</f>
        <v>24.703728999999999</v>
      </c>
      <c r="BC32" s="317">
        <f>'Income Statement Projections'!BA18+'Income Statement Projections'!BA19</f>
        <v>24.902920000000002</v>
      </c>
      <c r="BD32" s="317">
        <f>'Income Statement Projections'!BB18+'Income Statement Projections'!BB19</f>
        <v>25.102111000000001</v>
      </c>
      <c r="BE32" s="317">
        <f>'Income Statement Projections'!BC18+'Income Statement Projections'!BC19</f>
        <v>25.301302</v>
      </c>
      <c r="BF32" s="317">
        <f>'Income Statement Projections'!BD18+'Income Statement Projections'!BD19</f>
        <v>25.500492999999999</v>
      </c>
      <c r="BG32" s="317">
        <f>'Income Statement Projections'!BE18+'Income Statement Projections'!BE19</f>
        <v>25.699684000000005</v>
      </c>
      <c r="BH32" s="317">
        <f>'Income Statement Projections'!BF18+'Income Statement Projections'!BF19</f>
        <v>25.898875</v>
      </c>
      <c r="BI32" s="317">
        <f>'Income Statement Projections'!BG18+'Income Statement Projections'!BG19</f>
        <v>26.098065999999999</v>
      </c>
      <c r="BJ32" s="317">
        <f>'Income Statement Projections'!BH18+'Income Statement Projections'!BH19</f>
        <v>26.297257000000002</v>
      </c>
      <c r="BK32" s="317">
        <f>'Income Statement Projections'!BI18+'Income Statement Projections'!BI19</f>
        <v>26.496448000000001</v>
      </c>
      <c r="BL32" s="317"/>
      <c r="BM32" s="317"/>
      <c r="BN32" s="317"/>
      <c r="BO32" s="317"/>
      <c r="BP32" s="317"/>
      <c r="BQ32" s="317"/>
      <c r="BR32" s="317"/>
      <c r="BS32" s="317"/>
      <c r="BT32" s="317"/>
      <c r="BU32" s="317"/>
      <c r="BV32" s="317"/>
      <c r="BW32" s="317"/>
    </row>
    <row r="33" spans="2:75" ht="15.75">
      <c r="B33" s="316" t="s">
        <v>427</v>
      </c>
      <c r="C33" s="314">
        <f>C32*$C$26</f>
        <v>0</v>
      </c>
      <c r="D33" s="318">
        <f t="shared" ref="D33:O33" si="57">D32*$C$26</f>
        <v>2691.1009999999997</v>
      </c>
      <c r="E33" s="318">
        <f t="shared" si="57"/>
        <v>2890.2920000000004</v>
      </c>
      <c r="F33" s="318">
        <f t="shared" si="57"/>
        <v>3089.4830000000002</v>
      </c>
      <c r="G33" s="318">
        <f t="shared" si="57"/>
        <v>3288.674</v>
      </c>
      <c r="H33" s="318">
        <f t="shared" si="57"/>
        <v>3487.8650000000002</v>
      </c>
      <c r="I33" s="318">
        <f t="shared" si="57"/>
        <v>3687.056</v>
      </c>
      <c r="J33" s="318">
        <f t="shared" si="57"/>
        <v>3886.2469999999998</v>
      </c>
      <c r="K33" s="318">
        <f t="shared" si="57"/>
        <v>4085.438000000001</v>
      </c>
      <c r="L33" s="318">
        <f t="shared" si="57"/>
        <v>4284.6289999999999</v>
      </c>
      <c r="M33" s="318">
        <f t="shared" si="57"/>
        <v>4483.82</v>
      </c>
      <c r="N33" s="318">
        <f t="shared" si="57"/>
        <v>4683.0110000000004</v>
      </c>
      <c r="O33" s="318">
        <f t="shared" si="57"/>
        <v>4882.2019999999993</v>
      </c>
      <c r="P33" s="318">
        <f t="shared" ref="P33" si="58">P32*$C$26</f>
        <v>5081.3930000000009</v>
      </c>
      <c r="Q33" s="318">
        <f t="shared" ref="Q33" si="59">Q32*$C$26</f>
        <v>5280.5840000000007</v>
      </c>
      <c r="R33" s="318">
        <f t="shared" ref="R33" si="60">R32*$C$26</f>
        <v>5479.7749999999996</v>
      </c>
      <c r="S33" s="318">
        <f t="shared" ref="S33" si="61">S32*$C$26</f>
        <v>5678.9660000000003</v>
      </c>
      <c r="T33" s="318">
        <f t="shared" ref="T33" si="62">T32*$C$26</f>
        <v>5878.1570000000002</v>
      </c>
      <c r="U33" s="318">
        <f t="shared" ref="U33" si="63">U32*$C$26</f>
        <v>6077.348</v>
      </c>
      <c r="V33" s="318">
        <f t="shared" ref="V33" si="64">V32*$C$26</f>
        <v>6276.5389999999998</v>
      </c>
      <c r="W33" s="318">
        <f t="shared" ref="W33" si="65">W32*$C$26</f>
        <v>6475.7300000000005</v>
      </c>
      <c r="X33" s="318">
        <f t="shared" ref="X33" si="66">X32*$C$26</f>
        <v>6674.9210000000012</v>
      </c>
      <c r="Y33" s="318">
        <f t="shared" ref="Y33" si="67">Y32*$C$26</f>
        <v>6874.1120000000001</v>
      </c>
      <c r="Z33" s="318">
        <f t="shared" ref="Z33" si="68">Z32*$C$26</f>
        <v>7073.3029999999999</v>
      </c>
      <c r="AA33" s="318">
        <f t="shared" ref="AA33" si="69">AA32*$C$26</f>
        <v>7272.4939999999997</v>
      </c>
      <c r="AB33" s="318">
        <f t="shared" ref="AB33" si="70">AB32*$C$26</f>
        <v>7471.6849999999995</v>
      </c>
      <c r="AC33" s="318">
        <f t="shared" ref="AC33" si="71">AC32*$C$26</f>
        <v>7670.8760000000011</v>
      </c>
      <c r="AD33" s="318">
        <f t="shared" ref="AD33" si="72">AD32*$C$26</f>
        <v>7870.0670000000009</v>
      </c>
      <c r="AE33" s="318">
        <f t="shared" ref="AE33" si="73">AE32*$C$26</f>
        <v>8069.2579999999998</v>
      </c>
      <c r="AF33" s="318">
        <f t="shared" ref="AF33" si="74">AF32*$C$26</f>
        <v>8268.4490000000005</v>
      </c>
      <c r="AG33" s="318">
        <f t="shared" ref="AG33" si="75">AG32*$C$26</f>
        <v>8467.64</v>
      </c>
      <c r="AH33" s="318">
        <f t="shared" ref="AH33" si="76">AH32*$C$26</f>
        <v>8666.8310000000001</v>
      </c>
      <c r="AI33" s="318">
        <f t="shared" ref="AI33" si="77">AI32*$C$26</f>
        <v>8866.0220000000008</v>
      </c>
      <c r="AJ33" s="318">
        <f t="shared" ref="AJ33" si="78">AJ32*$C$26</f>
        <v>9065.2129999999997</v>
      </c>
      <c r="AK33" s="318">
        <f t="shared" ref="AK33" si="79">AK32*$C$26</f>
        <v>9264.4039999999986</v>
      </c>
      <c r="AL33" s="318">
        <f t="shared" ref="AL33" si="80">AL32*$C$26</f>
        <v>9463.5949999999993</v>
      </c>
      <c r="AM33" s="318">
        <f t="shared" ref="AM33" si="81">AM32*$C$26</f>
        <v>9662.7860000000019</v>
      </c>
      <c r="AN33" s="318">
        <f t="shared" ref="AN33" si="82">AN32*$C$26</f>
        <v>9861.976999999999</v>
      </c>
      <c r="AO33" s="318">
        <f t="shared" ref="AO33" si="83">AO32*$C$26</f>
        <v>10061.168000000001</v>
      </c>
      <c r="AP33" s="318">
        <f t="shared" ref="AP33" si="84">AP32*$C$26</f>
        <v>10260.358999999999</v>
      </c>
      <c r="AQ33" s="318">
        <f t="shared" ref="AQ33" si="85">AQ32*$C$26</f>
        <v>10459.549999999999</v>
      </c>
      <c r="AR33" s="318">
        <f t="shared" ref="AR33" si="86">AR32*$C$26</f>
        <v>10658.741</v>
      </c>
      <c r="AS33" s="318">
        <f t="shared" ref="AS33" si="87">AS32*$C$26</f>
        <v>10857.932000000001</v>
      </c>
      <c r="AT33" s="318">
        <f t="shared" ref="AT33" si="88">AT32*$C$26</f>
        <v>11057.123000000001</v>
      </c>
      <c r="AU33" s="318">
        <f t="shared" ref="AU33" si="89">AU32*$C$26</f>
        <v>11256.314</v>
      </c>
      <c r="AV33" s="318">
        <f t="shared" ref="AV33" si="90">AV32*$C$26</f>
        <v>11455.505000000003</v>
      </c>
      <c r="AW33" s="318">
        <f t="shared" ref="AW33" si="91">AW32*$C$26</f>
        <v>11654.696</v>
      </c>
      <c r="AX33" s="318">
        <f t="shared" ref="AX33" si="92">AX32*$C$26</f>
        <v>11853.887000000001</v>
      </c>
      <c r="AY33" s="318">
        <f t="shared" ref="AY33" si="93">AY32*$C$26</f>
        <v>12053.078</v>
      </c>
      <c r="AZ33" s="318">
        <f t="shared" ref="AZ33" si="94">AZ32*$C$26</f>
        <v>12152.673500000003</v>
      </c>
      <c r="BA33" s="318">
        <f t="shared" ref="BA33" si="95">BA32*$C$26</f>
        <v>12252.269</v>
      </c>
      <c r="BB33" s="318">
        <f t="shared" ref="BB33" si="96">BB32*$C$26</f>
        <v>12351.8645</v>
      </c>
      <c r="BC33" s="318">
        <f t="shared" ref="BC33" si="97">BC32*$C$26</f>
        <v>12451.460000000001</v>
      </c>
      <c r="BD33" s="318">
        <f t="shared" ref="BD33" si="98">BD32*$C$26</f>
        <v>12551.0555</v>
      </c>
      <c r="BE33" s="318">
        <f t="shared" ref="BE33" si="99">BE32*$C$26</f>
        <v>12650.651</v>
      </c>
      <c r="BF33" s="318">
        <f t="shared" ref="BF33" si="100">BF32*$C$26</f>
        <v>12750.246499999999</v>
      </c>
      <c r="BG33" s="318">
        <f t="shared" ref="BG33" si="101">BG32*$C$26</f>
        <v>12849.842000000002</v>
      </c>
      <c r="BH33" s="318">
        <f t="shared" ref="BH33" si="102">BH32*$C$26</f>
        <v>12949.4375</v>
      </c>
      <c r="BI33" s="318">
        <f t="shared" ref="BI33" si="103">BI32*$C$26</f>
        <v>13049.032999999999</v>
      </c>
      <c r="BJ33" s="318">
        <f t="shared" ref="BJ33" si="104">BJ32*$C$26</f>
        <v>13148.628500000001</v>
      </c>
      <c r="BK33" s="318">
        <f t="shared" ref="BK33" si="105">BK32*$C$26</f>
        <v>13248.224</v>
      </c>
      <c r="BL33" s="318"/>
      <c r="BM33" s="318"/>
      <c r="BN33" s="318"/>
      <c r="BO33" s="318"/>
      <c r="BP33" s="318"/>
      <c r="BQ33" s="318"/>
      <c r="BR33" s="318"/>
      <c r="BS33" s="318"/>
      <c r="BT33" s="318"/>
      <c r="BU33" s="318"/>
      <c r="BV33" s="318"/>
      <c r="BW33" s="318"/>
    </row>
    <row r="34" spans="2:75" ht="15.75">
      <c r="B34" s="316" t="s">
        <v>420</v>
      </c>
      <c r="C34" s="314">
        <f>C32*C27</f>
        <v>0</v>
      </c>
      <c r="D34" s="318">
        <f>C34+D36</f>
        <v>269.11009999999999</v>
      </c>
      <c r="E34" s="318">
        <f>D34+E36</f>
        <v>490.86177500000008</v>
      </c>
      <c r="F34" s="318">
        <f>E34+F36</f>
        <v>727.55277500000011</v>
      </c>
      <c r="G34" s="318">
        <f t="shared" ref="G34:O34" si="106">F34+G36</f>
        <v>979.18310000000008</v>
      </c>
      <c r="H34" s="318">
        <f t="shared" si="106"/>
        <v>1245.7527500000001</v>
      </c>
      <c r="I34" s="318">
        <f t="shared" si="106"/>
        <v>1527.2617250000001</v>
      </c>
      <c r="J34" s="318">
        <f t="shared" si="106"/>
        <v>1823.7100250000001</v>
      </c>
      <c r="K34" s="318">
        <f t="shared" si="106"/>
        <v>2135.0976500000002</v>
      </c>
      <c r="L34" s="318">
        <f t="shared" si="106"/>
        <v>2461.4246000000003</v>
      </c>
      <c r="M34" s="318">
        <f t="shared" si="106"/>
        <v>2802.6908750000002</v>
      </c>
      <c r="N34" s="318">
        <f t="shared" si="106"/>
        <v>3158.8964750000005</v>
      </c>
      <c r="O34" s="318">
        <f t="shared" si="106"/>
        <v>3530.0414000000005</v>
      </c>
      <c r="P34" s="318">
        <f t="shared" ref="P34" si="107">O34+P36</f>
        <v>3916.1256500000009</v>
      </c>
      <c r="Q34" s="318">
        <f t="shared" ref="Q34" si="108">P34+Q36</f>
        <v>4317.149225000001</v>
      </c>
      <c r="R34" s="318">
        <f t="shared" ref="R34" si="109">Q34+R36</f>
        <v>4733.1121250000015</v>
      </c>
      <c r="S34" s="318">
        <f t="shared" ref="S34" si="110">R34+S36</f>
        <v>5164.0143500000013</v>
      </c>
      <c r="T34" s="318">
        <f t="shared" ref="T34" si="111">S34+T36</f>
        <v>5609.8559000000014</v>
      </c>
      <c r="U34" s="318">
        <f t="shared" ref="U34" si="112">T34+U36</f>
        <v>6070.6367750000018</v>
      </c>
      <c r="V34" s="318">
        <f t="shared" ref="V34" si="113">U34+V36</f>
        <v>6546.3569750000015</v>
      </c>
      <c r="W34" s="318">
        <f t="shared" ref="W34" si="114">V34+W36</f>
        <v>7037.0165000000015</v>
      </c>
      <c r="X34" s="318">
        <f t="shared" ref="X34" si="115">W34+X36</f>
        <v>7542.6153500000019</v>
      </c>
      <c r="Y34" s="318">
        <f t="shared" ref="Y34" si="116">X34+Y36</f>
        <v>8063.1535250000015</v>
      </c>
      <c r="Z34" s="318">
        <f t="shared" ref="Z34" si="117">Y34+Z36</f>
        <v>8598.6310250000024</v>
      </c>
      <c r="AA34" s="318">
        <f t="shared" ref="AA34" si="118">Z34+AA36</f>
        <v>9149.0478500000027</v>
      </c>
      <c r="AB34" s="318">
        <f t="shared" ref="AB34" si="119">AA34+AB36</f>
        <v>9714.4040000000023</v>
      </c>
      <c r="AC34" s="318">
        <f t="shared" ref="AC34" si="120">AB34+AC36</f>
        <v>10294.699475000003</v>
      </c>
      <c r="AD34" s="318">
        <f t="shared" ref="AD34" si="121">AC34+AD36</f>
        <v>10889.934275000003</v>
      </c>
      <c r="AE34" s="318">
        <f t="shared" ref="AE34" si="122">AD34+AE36</f>
        <v>11500.108400000003</v>
      </c>
      <c r="AF34" s="318">
        <f t="shared" ref="AF34" si="123">AE34+AF36</f>
        <v>12125.221850000004</v>
      </c>
      <c r="AG34" s="318">
        <f t="shared" ref="AG34" si="124">AF34+AG36</f>
        <v>12765.274625000004</v>
      </c>
      <c r="AH34" s="318">
        <f t="shared" ref="AH34" si="125">AG34+AH36</f>
        <v>13420.266725000003</v>
      </c>
      <c r="AI34" s="318">
        <f t="shared" ref="AI34" si="126">AH34+AI36</f>
        <v>14090.198150000004</v>
      </c>
      <c r="AJ34" s="318">
        <f t="shared" ref="AJ34" si="127">AI34+AJ36</f>
        <v>14775.068900000004</v>
      </c>
      <c r="AK34" s="318">
        <f t="shared" ref="AK34" si="128">AJ34+AK36</f>
        <v>15474.878975000003</v>
      </c>
      <c r="AL34" s="318">
        <f t="shared" ref="AL34" si="129">AK34+AL36</f>
        <v>16189.628375000004</v>
      </c>
      <c r="AM34" s="318">
        <f t="shared" ref="AM34" si="130">AL34+AM36</f>
        <v>16919.317100000004</v>
      </c>
      <c r="AN34" s="318">
        <f t="shared" ref="AN34" si="131">AM34+AN36</f>
        <v>17663.945150000003</v>
      </c>
      <c r="AO34" s="318">
        <f t="shared" ref="AO34" si="132">AN34+AO36</f>
        <v>18423.512525000002</v>
      </c>
      <c r="AP34" s="318">
        <f t="shared" ref="AP34" si="133">AO34+AP36</f>
        <v>19198.019225000004</v>
      </c>
      <c r="AQ34" s="318">
        <f t="shared" ref="AQ34" si="134">AP34+AQ36</f>
        <v>19987.465250000005</v>
      </c>
      <c r="AR34" s="318">
        <f t="shared" ref="AR34" si="135">AQ34+AR36</f>
        <v>20791.850600000005</v>
      </c>
      <c r="AS34" s="318">
        <f t="shared" ref="AS34" si="136">AR34+AS36</f>
        <v>21611.175275000005</v>
      </c>
      <c r="AT34" s="318">
        <f t="shared" ref="AT34" si="137">AS34+AT36</f>
        <v>22445.439275000004</v>
      </c>
      <c r="AU34" s="318">
        <f t="shared" ref="AU34" si="138">AT34+AU36</f>
        <v>23294.642600000003</v>
      </c>
      <c r="AV34" s="318">
        <f t="shared" ref="AV34" si="139">AU34+AV36</f>
        <v>24158.785250000004</v>
      </c>
      <c r="AW34" s="318">
        <f t="shared" ref="AW34" si="140">AV34+AW36</f>
        <v>25037.867225000005</v>
      </c>
      <c r="AX34" s="318">
        <f t="shared" ref="AX34" si="141">AW34+AX36</f>
        <v>25931.888525000006</v>
      </c>
      <c r="AY34" s="318">
        <f t="shared" ref="AY34" si="142">AX34+AY36</f>
        <v>26840.849150000005</v>
      </c>
      <c r="AZ34" s="318">
        <f t="shared" ref="AZ34" si="143">AY34+AZ36</f>
        <v>27754.789550000005</v>
      </c>
      <c r="BA34" s="318">
        <f t="shared" ref="BA34" si="144">AZ34+BA36</f>
        <v>28676.199612500004</v>
      </c>
      <c r="BB34" s="318">
        <f t="shared" ref="BB34" si="145">BA34+BB36</f>
        <v>29605.079337500003</v>
      </c>
      <c r="BC34" s="318">
        <f t="shared" ref="BC34" si="146">BB34+BC36</f>
        <v>30541.428725000002</v>
      </c>
      <c r="BD34" s="318">
        <f t="shared" ref="BD34" si="147">BC34+BD36</f>
        <v>31485.247775</v>
      </c>
      <c r="BE34" s="318">
        <f t="shared" ref="BE34" si="148">BD34+BE36</f>
        <v>32436.536487500001</v>
      </c>
      <c r="BF34" s="318">
        <f t="shared" ref="BF34" si="149">BE34+BF36</f>
        <v>33395.294862499999</v>
      </c>
      <c r="BG34" s="318">
        <f t="shared" ref="BG34" si="150">BF34+BG36</f>
        <v>34361.522899999996</v>
      </c>
      <c r="BH34" s="318">
        <f t="shared" ref="BH34" si="151">BG34+BH36</f>
        <v>35335.220599999993</v>
      </c>
      <c r="BI34" s="318">
        <f t="shared" ref="BI34" si="152">BH34+BI36</f>
        <v>36316.38796249999</v>
      </c>
      <c r="BJ34" s="318">
        <f t="shared" ref="BJ34" si="153">BI34+BJ36</f>
        <v>37305.024987499994</v>
      </c>
      <c r="BK34" s="318">
        <f t="shared" ref="BK34" si="154">BJ34+BK36</f>
        <v>38301.131674999997</v>
      </c>
      <c r="BL34" s="318"/>
      <c r="BM34" s="318"/>
      <c r="BN34" s="318"/>
      <c r="BO34" s="318"/>
      <c r="BP34" s="318"/>
      <c r="BQ34" s="318"/>
      <c r="BR34" s="318"/>
      <c r="BS34" s="318"/>
      <c r="BT34" s="318"/>
      <c r="BU34" s="318"/>
      <c r="BV34" s="318"/>
      <c r="BW34" s="318"/>
    </row>
    <row r="35" spans="2:75" ht="15.75">
      <c r="B35" s="316" t="s">
        <v>429</v>
      </c>
      <c r="C35" s="314">
        <f>C33-C34</f>
        <v>0</v>
      </c>
      <c r="D35" s="318">
        <f>D33-D34</f>
        <v>2421.9908999999998</v>
      </c>
      <c r="E35" s="318">
        <f>E33-E34</f>
        <v>2399.4302250000001</v>
      </c>
      <c r="F35" s="318">
        <f t="shared" ref="F35:O35" si="155">F33-F34</f>
        <v>2361.9302250000001</v>
      </c>
      <c r="G35" s="318">
        <f t="shared" si="155"/>
        <v>2309.4908999999998</v>
      </c>
      <c r="H35" s="318">
        <f>H33-H34</f>
        <v>2242.1122500000001</v>
      </c>
      <c r="I35" s="318">
        <f t="shared" si="155"/>
        <v>2159.7942750000002</v>
      </c>
      <c r="J35" s="318">
        <f>J33-J34</f>
        <v>2062.536975</v>
      </c>
      <c r="K35" s="318">
        <f t="shared" si="155"/>
        <v>1950.3403500000009</v>
      </c>
      <c r="L35" s="318">
        <f t="shared" si="155"/>
        <v>1823.2043999999996</v>
      </c>
      <c r="M35" s="318">
        <f t="shared" si="155"/>
        <v>1681.1291249999995</v>
      </c>
      <c r="N35" s="318">
        <f t="shared" si="155"/>
        <v>1524.114525</v>
      </c>
      <c r="O35" s="318">
        <f t="shared" si="155"/>
        <v>1352.1605999999988</v>
      </c>
      <c r="P35" s="318">
        <f t="shared" ref="P35:BK35" si="156">P33-P34</f>
        <v>1165.2673500000001</v>
      </c>
      <c r="Q35" s="318">
        <f t="shared" si="156"/>
        <v>963.43477499999972</v>
      </c>
      <c r="R35" s="318">
        <f t="shared" si="156"/>
        <v>746.66287499999817</v>
      </c>
      <c r="S35" s="318">
        <f t="shared" si="156"/>
        <v>514.95164999999906</v>
      </c>
      <c r="T35" s="318">
        <f t="shared" si="156"/>
        <v>268.30109999999877</v>
      </c>
      <c r="U35" s="318">
        <f t="shared" si="156"/>
        <v>6.7112249999981941</v>
      </c>
      <c r="V35" s="318">
        <f t="shared" si="156"/>
        <v>-269.81797500000175</v>
      </c>
      <c r="W35" s="318">
        <f t="shared" si="156"/>
        <v>-561.28650000000107</v>
      </c>
      <c r="X35" s="318">
        <f t="shared" si="156"/>
        <v>-867.69435000000067</v>
      </c>
      <c r="Y35" s="318">
        <f t="shared" si="156"/>
        <v>-1189.0415250000015</v>
      </c>
      <c r="Z35" s="318">
        <f t="shared" si="156"/>
        <v>-1525.3280250000025</v>
      </c>
      <c r="AA35" s="318">
        <f t="shared" si="156"/>
        <v>-1876.553850000003</v>
      </c>
      <c r="AB35" s="318">
        <f t="shared" si="156"/>
        <v>-2242.7190000000028</v>
      </c>
      <c r="AC35" s="318">
        <f t="shared" si="156"/>
        <v>-2623.823475000002</v>
      </c>
      <c r="AD35" s="318">
        <f t="shared" si="156"/>
        <v>-3019.8672750000023</v>
      </c>
      <c r="AE35" s="318">
        <f t="shared" si="156"/>
        <v>-3430.850400000003</v>
      </c>
      <c r="AF35" s="318">
        <f t="shared" si="156"/>
        <v>-3856.772850000003</v>
      </c>
      <c r="AG35" s="318">
        <f t="shared" si="156"/>
        <v>-4297.6346250000042</v>
      </c>
      <c r="AH35" s="318">
        <f t="shared" si="156"/>
        <v>-4753.435725000003</v>
      </c>
      <c r="AI35" s="318">
        <f t="shared" si="156"/>
        <v>-5224.176150000003</v>
      </c>
      <c r="AJ35" s="318">
        <f t="shared" si="156"/>
        <v>-5709.8559000000041</v>
      </c>
      <c r="AK35" s="318">
        <f t="shared" si="156"/>
        <v>-6210.4749750000046</v>
      </c>
      <c r="AL35" s="318">
        <f t="shared" si="156"/>
        <v>-6726.0333750000045</v>
      </c>
      <c r="AM35" s="318">
        <f t="shared" si="156"/>
        <v>-7256.531100000002</v>
      </c>
      <c r="AN35" s="318">
        <f t="shared" si="156"/>
        <v>-7801.9681500000042</v>
      </c>
      <c r="AO35" s="318">
        <f t="shared" si="156"/>
        <v>-8362.3445250000004</v>
      </c>
      <c r="AP35" s="318">
        <f t="shared" si="156"/>
        <v>-8937.6602250000051</v>
      </c>
      <c r="AQ35" s="318">
        <f t="shared" si="156"/>
        <v>-9527.9152500000055</v>
      </c>
      <c r="AR35" s="318">
        <f t="shared" si="156"/>
        <v>-10133.109600000005</v>
      </c>
      <c r="AS35" s="318">
        <f t="shared" si="156"/>
        <v>-10753.243275000004</v>
      </c>
      <c r="AT35" s="318">
        <f t="shared" si="156"/>
        <v>-11388.316275000003</v>
      </c>
      <c r="AU35" s="318">
        <f t="shared" si="156"/>
        <v>-12038.328600000003</v>
      </c>
      <c r="AV35" s="318">
        <f t="shared" si="156"/>
        <v>-12703.280250000002</v>
      </c>
      <c r="AW35" s="318">
        <f t="shared" si="156"/>
        <v>-13383.171225000006</v>
      </c>
      <c r="AX35" s="318">
        <f t="shared" si="156"/>
        <v>-14078.001525000005</v>
      </c>
      <c r="AY35" s="318">
        <f t="shared" si="156"/>
        <v>-14787.771150000006</v>
      </c>
      <c r="AZ35" s="318">
        <f t="shared" si="156"/>
        <v>-15602.116050000002</v>
      </c>
      <c r="BA35" s="318">
        <f t="shared" si="156"/>
        <v>-16423.930612500004</v>
      </c>
      <c r="BB35" s="318">
        <f t="shared" si="156"/>
        <v>-17253.214837500003</v>
      </c>
      <c r="BC35" s="318">
        <f t="shared" si="156"/>
        <v>-18089.968724999999</v>
      </c>
      <c r="BD35" s="318">
        <f t="shared" si="156"/>
        <v>-18934.192275000001</v>
      </c>
      <c r="BE35" s="318">
        <f t="shared" si="156"/>
        <v>-19785.885487500003</v>
      </c>
      <c r="BF35" s="318">
        <f t="shared" si="156"/>
        <v>-20645.048362499998</v>
      </c>
      <c r="BG35" s="318">
        <f t="shared" si="156"/>
        <v>-21511.680899999992</v>
      </c>
      <c r="BH35" s="318">
        <f t="shared" si="156"/>
        <v>-22385.783099999993</v>
      </c>
      <c r="BI35" s="318">
        <f t="shared" si="156"/>
        <v>-23267.354962499991</v>
      </c>
      <c r="BJ35" s="318">
        <f t="shared" si="156"/>
        <v>-24156.396487499995</v>
      </c>
      <c r="BK35" s="318">
        <f t="shared" si="156"/>
        <v>-25052.907674999995</v>
      </c>
      <c r="BL35" s="318"/>
      <c r="BM35" s="318"/>
      <c r="BN35" s="318"/>
      <c r="BO35" s="318"/>
      <c r="BP35" s="318"/>
      <c r="BQ35" s="318"/>
      <c r="BR35" s="318"/>
      <c r="BS35" s="318"/>
      <c r="BT35" s="318"/>
      <c r="BU35" s="318"/>
      <c r="BV35" s="318"/>
      <c r="BW35" s="318"/>
    </row>
    <row r="36" spans="2:75" ht="15.75">
      <c r="B36" s="316" t="s">
        <v>428</v>
      </c>
      <c r="C36" s="314"/>
      <c r="D36" s="318">
        <f>C32*($C$28/$C$29)+IF(D32&gt;C32,(D32-C32)*$C$27,0)</f>
        <v>269.11009999999999</v>
      </c>
      <c r="E36" s="318">
        <f t="shared" ref="E36:O36" si="157">D32*($C$28/$C$29)+IF(E32&gt;D32,(E32-D32)*$C$27,0)</f>
        <v>221.75167500000006</v>
      </c>
      <c r="F36" s="318">
        <f t="shared" si="157"/>
        <v>236.69099999999997</v>
      </c>
      <c r="G36" s="318">
        <f t="shared" si="157"/>
        <v>251.63032499999997</v>
      </c>
      <c r="H36" s="318">
        <f t="shared" si="157"/>
        <v>266.56965000000002</v>
      </c>
      <c r="I36" s="318">
        <f t="shared" si="157"/>
        <v>281.50897500000002</v>
      </c>
      <c r="J36" s="318">
        <f t="shared" si="157"/>
        <v>296.44830000000002</v>
      </c>
      <c r="K36" s="318">
        <f t="shared" si="157"/>
        <v>311.38762500000007</v>
      </c>
      <c r="L36" s="318">
        <f t="shared" si="157"/>
        <v>326.32694999999995</v>
      </c>
      <c r="M36" s="318">
        <f t="shared" si="157"/>
        <v>341.26627500000001</v>
      </c>
      <c r="N36" s="318">
        <f t="shared" si="157"/>
        <v>356.20560000000006</v>
      </c>
      <c r="O36" s="318">
        <f t="shared" si="157"/>
        <v>371.14492499999994</v>
      </c>
      <c r="P36" s="318">
        <f t="shared" ref="P36:BK36" si="158">O32*($C$28/$C$29)+IF(P32&gt;O32,(P32-O32)*$C$27,0)</f>
        <v>386.08425000000017</v>
      </c>
      <c r="Q36" s="318">
        <f t="shared" si="158"/>
        <v>401.02357500000011</v>
      </c>
      <c r="R36" s="318">
        <f t="shared" si="158"/>
        <v>415.96289999999999</v>
      </c>
      <c r="S36" s="318">
        <f t="shared" si="158"/>
        <v>430.90222500000004</v>
      </c>
      <c r="T36" s="318">
        <f t="shared" si="158"/>
        <v>445.84154999999998</v>
      </c>
      <c r="U36" s="318">
        <f t="shared" si="158"/>
        <v>460.78087499999998</v>
      </c>
      <c r="V36" s="318">
        <f t="shared" si="158"/>
        <v>475.72019999999998</v>
      </c>
      <c r="W36" s="318">
        <f t="shared" si="158"/>
        <v>490.65952500000003</v>
      </c>
      <c r="X36" s="318">
        <f t="shared" si="158"/>
        <v>505.59885000000008</v>
      </c>
      <c r="Y36" s="318">
        <f t="shared" si="158"/>
        <v>520.53817499999991</v>
      </c>
      <c r="Z36" s="318">
        <f t="shared" si="158"/>
        <v>535.47749999999996</v>
      </c>
      <c r="AA36" s="318">
        <f t="shared" si="158"/>
        <v>550.41682500000002</v>
      </c>
      <c r="AB36" s="318">
        <f t="shared" si="158"/>
        <v>565.35614999999996</v>
      </c>
      <c r="AC36" s="318">
        <f t="shared" si="158"/>
        <v>580.29547500000001</v>
      </c>
      <c r="AD36" s="318">
        <f t="shared" si="158"/>
        <v>595.23480000000006</v>
      </c>
      <c r="AE36" s="318">
        <f t="shared" si="158"/>
        <v>610.174125</v>
      </c>
      <c r="AF36" s="318">
        <f t="shared" si="158"/>
        <v>625.11345000000006</v>
      </c>
      <c r="AG36" s="318">
        <f t="shared" si="158"/>
        <v>640.05277499999988</v>
      </c>
      <c r="AH36" s="318">
        <f t="shared" si="158"/>
        <v>654.99210000000005</v>
      </c>
      <c r="AI36" s="318">
        <f t="shared" si="158"/>
        <v>669.9314250000001</v>
      </c>
      <c r="AJ36" s="318">
        <f t="shared" si="158"/>
        <v>684.87075000000004</v>
      </c>
      <c r="AK36" s="318">
        <f t="shared" si="158"/>
        <v>699.81007499999987</v>
      </c>
      <c r="AL36" s="318">
        <f t="shared" si="158"/>
        <v>714.74940000000004</v>
      </c>
      <c r="AM36" s="318">
        <f t="shared" si="158"/>
        <v>729.68872500000032</v>
      </c>
      <c r="AN36" s="318">
        <f t="shared" si="158"/>
        <v>744.62804999999992</v>
      </c>
      <c r="AO36" s="318">
        <f t="shared" si="158"/>
        <v>759.56737500000031</v>
      </c>
      <c r="AP36" s="318">
        <f t="shared" si="158"/>
        <v>774.50669999999991</v>
      </c>
      <c r="AQ36" s="318">
        <f t="shared" si="158"/>
        <v>789.44602500000008</v>
      </c>
      <c r="AR36" s="318">
        <f t="shared" si="158"/>
        <v>804.38535000000002</v>
      </c>
      <c r="AS36" s="318">
        <f t="shared" si="158"/>
        <v>819.32467499999996</v>
      </c>
      <c r="AT36" s="318">
        <f t="shared" si="158"/>
        <v>834.26400000000001</v>
      </c>
      <c r="AU36" s="318">
        <f t="shared" si="158"/>
        <v>849.20332499999995</v>
      </c>
      <c r="AV36" s="318">
        <f t="shared" si="158"/>
        <v>864.14265000000023</v>
      </c>
      <c r="AW36" s="318">
        <f t="shared" si="158"/>
        <v>879.08197499999994</v>
      </c>
      <c r="AX36" s="318">
        <f t="shared" si="158"/>
        <v>894.0213</v>
      </c>
      <c r="AY36" s="318">
        <f t="shared" si="158"/>
        <v>908.96062499999994</v>
      </c>
      <c r="AZ36" s="318">
        <f t="shared" si="158"/>
        <v>913.94040000000018</v>
      </c>
      <c r="BA36" s="318">
        <f t="shared" si="158"/>
        <v>921.41006249999998</v>
      </c>
      <c r="BB36" s="318">
        <f t="shared" si="158"/>
        <v>928.87972499999989</v>
      </c>
      <c r="BC36" s="318">
        <f t="shared" si="158"/>
        <v>936.34938750000015</v>
      </c>
      <c r="BD36" s="318">
        <f t="shared" si="158"/>
        <v>943.81904999999995</v>
      </c>
      <c r="BE36" s="318">
        <f t="shared" si="158"/>
        <v>951.28871249999997</v>
      </c>
      <c r="BF36" s="318">
        <f t="shared" si="158"/>
        <v>958.75837499999989</v>
      </c>
      <c r="BG36" s="318">
        <f t="shared" si="158"/>
        <v>966.22803750000026</v>
      </c>
      <c r="BH36" s="318">
        <f t="shared" si="158"/>
        <v>973.69769999999994</v>
      </c>
      <c r="BI36" s="318">
        <f t="shared" si="158"/>
        <v>981.16736249999997</v>
      </c>
      <c r="BJ36" s="318">
        <f t="shared" si="158"/>
        <v>988.63702500000011</v>
      </c>
      <c r="BK36" s="318">
        <f t="shared" si="158"/>
        <v>996.10668750000002</v>
      </c>
      <c r="BL36" s="318"/>
      <c r="BM36" s="318"/>
      <c r="BN36" s="318"/>
      <c r="BO36" s="318"/>
      <c r="BP36" s="318"/>
      <c r="BQ36" s="318"/>
      <c r="BR36" s="318"/>
      <c r="BS36" s="318"/>
      <c r="BT36" s="318"/>
      <c r="BU36" s="318"/>
      <c r="BV36" s="318"/>
      <c r="BW36" s="3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36</vt:i4>
      </vt:variant>
    </vt:vector>
  </HeadingPairs>
  <TitlesOfParts>
    <vt:vector size="47" baseType="lpstr">
      <vt:lpstr>Introduction</vt:lpstr>
      <vt:lpstr>Data Entry</vt:lpstr>
      <vt:lpstr>Analysis</vt:lpstr>
      <vt:lpstr>APPENDIX - Startup Costs</vt:lpstr>
      <vt:lpstr>Sheet1</vt:lpstr>
      <vt:lpstr>Bal Sheet &amp; Cash Flow</vt:lpstr>
      <vt:lpstr>Income Statement Projections</vt:lpstr>
      <vt:lpstr>Sheet4</vt:lpstr>
      <vt:lpstr>Debt &amp; Equity</vt:lpstr>
      <vt:lpstr>State Unemployment</vt:lpstr>
      <vt:lpstr>5 Year Summary</vt:lpstr>
      <vt:lpstr>Admin_Efficiency</vt:lpstr>
      <vt:lpstr>Aide_Comp</vt:lpstr>
      <vt:lpstr>ALOS</vt:lpstr>
      <vt:lpstr>Avg_hours_private_visit</vt:lpstr>
      <vt:lpstr>Avg_hours_public_visit</vt:lpstr>
      <vt:lpstr>BOD</vt:lpstr>
      <vt:lpstr>Client_Time</vt:lpstr>
      <vt:lpstr>Coordinator_Efficiency</vt:lpstr>
      <vt:lpstr>Coordinator_Hourly</vt:lpstr>
      <vt:lpstr>Days_AR</vt:lpstr>
      <vt:lpstr>Dis_Insurance</vt:lpstr>
      <vt:lpstr>ED_Salary</vt:lpstr>
      <vt:lpstr>H_Insurance</vt:lpstr>
      <vt:lpstr>Hourly_Wage</vt:lpstr>
      <vt:lpstr>HoursPerWeek</vt:lpstr>
      <vt:lpstr>InService</vt:lpstr>
      <vt:lpstr>MF_DP</vt:lpstr>
      <vt:lpstr>MF_Fee</vt:lpstr>
      <vt:lpstr>MF_Months</vt:lpstr>
      <vt:lpstr>Non_Aide_Comp</vt:lpstr>
      <vt:lpstr>Office_Salary</vt:lpstr>
      <vt:lpstr>Private_LOV</vt:lpstr>
      <vt:lpstr>Private_pay_hour</vt:lpstr>
      <vt:lpstr>Private_Rate</vt:lpstr>
      <vt:lpstr>Private_VpW</vt:lpstr>
      <vt:lpstr>PTO</vt:lpstr>
      <vt:lpstr>Public_LOV</vt:lpstr>
      <vt:lpstr>Public_pay_hour</vt:lpstr>
      <vt:lpstr>Public_Rate</vt:lpstr>
      <vt:lpstr>Public_VpW</vt:lpstr>
      <vt:lpstr>Retirement</vt:lpstr>
      <vt:lpstr>Shift</vt:lpstr>
      <vt:lpstr>SUTA_Rate</vt:lpstr>
      <vt:lpstr>Travel_Time</vt:lpstr>
      <vt:lpstr>Travel_Wage</vt:lpstr>
      <vt:lpstr>Wage_Increase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Lund</dc:creator>
  <cp:lastModifiedBy>Kirstie Boyette</cp:lastModifiedBy>
  <cp:lastPrinted>2015-11-30T15:59:00Z</cp:lastPrinted>
  <dcterms:created xsi:type="dcterms:W3CDTF">2015-08-25T22:19:57Z</dcterms:created>
  <dcterms:modified xsi:type="dcterms:W3CDTF">2020-06-30T19:35:47Z</dcterms:modified>
</cp:coreProperties>
</file>